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eúdo pendrive\"/>
    </mc:Choice>
  </mc:AlternateContent>
  <bookViews>
    <workbookView xWindow="0" yWindow="0" windowWidth="28800" windowHeight="12330" tabRatio="711"/>
  </bookViews>
  <sheets>
    <sheet name="Dados Gerais do Município" sheetId="52" r:id="rId1"/>
    <sheet name="Encargos sociais" sheetId="67" r:id="rId2"/>
    <sheet name="Equipe Técnica Permanente" sheetId="27" r:id="rId3"/>
    <sheet name="Estrutura de apoio" sheetId="30" r:id="rId4"/>
    <sheet name="Distribuição Custos FIXOS" sheetId="25" r:id="rId5"/>
    <sheet name="Mobil. e Participação Social" sheetId="9" r:id="rId6"/>
    <sheet name="Audiência Municipal" sheetId="53" r:id="rId7"/>
    <sheet name="Equipe Técnica Eventual" sheetId="51" r:id="rId8"/>
    <sheet name="Deslocamento Terrestre" sheetId="41" r:id="rId9"/>
    <sheet name="Deslocamento Hidroviário" sheetId="64" r:id="rId10"/>
    <sheet name="PA" sheetId="10" r:id="rId11"/>
    <sheet name="PB" sheetId="31" r:id="rId12"/>
    <sheet name="PC" sheetId="32" r:id="rId13"/>
    <sheet name="PD" sheetId="33" r:id="rId14"/>
    <sheet name="PE" sheetId="34" r:id="rId15"/>
    <sheet name="PF" sheetId="35" r:id="rId16"/>
    <sheet name="PG" sheetId="36" r:id="rId17"/>
    <sheet name="PH" sheetId="37" state="hidden" r:id="rId18"/>
    <sheet name="PI" sheetId="38" state="hidden" r:id="rId19"/>
    <sheet name="PJ" sheetId="39" state="hidden" r:id="rId20"/>
    <sheet name="PK" sheetId="40" state="hidden" r:id="rId21"/>
    <sheet name="BDI" sheetId="54" r:id="rId22"/>
    <sheet name="Distribuição Custos Variáveis" sheetId="60" r:id="rId23"/>
    <sheet name="Resumo Final" sheetId="55" r:id="rId24"/>
    <sheet name="Cronograma Fis Fin" sheetId="59" r:id="rId25"/>
    <sheet name="Curva ABC" sheetId="57" r:id="rId26"/>
    <sheet name="Curva ABC Graf" sheetId="63" r:id="rId27"/>
    <sheet name="Comp Prod 2012 x 2018 Geral" sheetId="68" r:id="rId28"/>
    <sheet name="Comparativo Produtos em Lista" sheetId="69" r:id="rId29"/>
    <sheet name="Comp Prod 2012 x 2018" sheetId="65" state="hidden" r:id="rId30"/>
    <sheet name="Planilha1" sheetId="66" state="hidden" r:id="rId31"/>
  </sheets>
  <externalReferences>
    <externalReference r:id="rId32"/>
  </externalReferences>
  <definedNames>
    <definedName name="_xlnm._FilterDatabase" localSheetId="25" hidden="1">'Curva ABC'!$B$5:$F$18</definedName>
    <definedName name="_xlnm._FilterDatabase" localSheetId="1" hidden="1">'Encargos sociais'!$B$10:$L$59</definedName>
    <definedName name="_xlnm.Print_Area" localSheetId="6">'Audiência Municipal'!$A$1:$H$22</definedName>
    <definedName name="_xlnm.Print_Area" localSheetId="21">BDI!$A$1:$H$16</definedName>
    <definedName name="_xlnm.Print_Area" localSheetId="28">'Comparativo Produtos em Lista'!$A$1:$J$34</definedName>
    <definedName name="_xlnm.Print_Area" localSheetId="24">'Cronograma Fis Fin'!$A$1:$M$17</definedName>
    <definedName name="_xlnm.Print_Area" localSheetId="25">'Curva ABC'!$A$1:$G$24</definedName>
    <definedName name="_xlnm.Print_Area" localSheetId="0">'Dados Gerais do Município'!$A$1:$E$17</definedName>
    <definedName name="_xlnm.Print_Area" localSheetId="9">'Deslocamento Hidroviário'!$A$1:$I$13</definedName>
    <definedName name="_xlnm.Print_Area" localSheetId="8">'Deslocamento Terrestre'!$A$1:$I$14</definedName>
    <definedName name="_xlnm.Print_Area" localSheetId="4">'Distribuição Custos FIXOS'!$A$1:$O$32</definedName>
    <definedName name="_xlnm.Print_Area" localSheetId="22">'Distribuição Custos Variáveis'!$A$1:$M$30</definedName>
    <definedName name="_xlnm.Print_Area" localSheetId="1">'Encargos sociais'!$A$1:$M$60</definedName>
    <definedName name="_xlnm.Print_Area" localSheetId="7">'Equipe Técnica Eventual'!$B$7:$K$13</definedName>
    <definedName name="_xlnm.Print_Area" localSheetId="2">'Equipe Técnica Permanente'!$A$1:$J$22</definedName>
    <definedName name="_xlnm.Print_Area" localSheetId="3">'Estrutura de apoio'!$A$1:$H$16</definedName>
    <definedName name="_xlnm.Print_Area" localSheetId="5">'Mobil. e Participação Social'!$B$1:$I$22</definedName>
    <definedName name="_xlnm.Print_Area" localSheetId="10">PA!$A$1:$I$32</definedName>
    <definedName name="_xlnm.Print_Area" localSheetId="23">'Resumo Final'!#REF!</definedName>
  </definedNames>
  <calcPr calcId="162913"/>
</workbook>
</file>

<file path=xl/calcChain.xml><?xml version="1.0" encoding="utf-8"?>
<calcChain xmlns="http://schemas.openxmlformats.org/spreadsheetml/2006/main">
  <c r="D16" i="52" l="1"/>
  <c r="C18" i="60" l="1"/>
  <c r="C22" i="60" s="1"/>
  <c r="D18" i="60"/>
  <c r="E18" i="60"/>
  <c r="F18" i="60"/>
  <c r="G18" i="60"/>
  <c r="H18" i="60"/>
  <c r="I18" i="60"/>
  <c r="H21" i="27"/>
  <c r="G15" i="30"/>
  <c r="H11" i="25"/>
  <c r="H12" i="25"/>
  <c r="G10" i="25"/>
  <c r="G12" i="25"/>
  <c r="G11" i="25"/>
  <c r="F10" i="25"/>
  <c r="F9" i="25"/>
  <c r="D8" i="25"/>
  <c r="D9" i="25"/>
  <c r="K8" i="55" l="1"/>
  <c r="K12" i="55"/>
  <c r="K14" i="55"/>
  <c r="J14" i="55"/>
  <c r="J12" i="55"/>
  <c r="J10" i="55"/>
  <c r="J8" i="55"/>
  <c r="J28" i="60"/>
  <c r="I28" i="60"/>
  <c r="G10" i="36"/>
  <c r="F16" i="36"/>
  <c r="F15" i="36"/>
  <c r="F14" i="36"/>
  <c r="F13" i="36"/>
  <c r="F11" i="36"/>
  <c r="F10" i="36"/>
  <c r="F9" i="36"/>
  <c r="F16" i="35"/>
  <c r="F15" i="35"/>
  <c r="F14" i="35"/>
  <c r="F13" i="35"/>
  <c r="F11" i="35"/>
  <c r="F10" i="35"/>
  <c r="F9" i="35"/>
  <c r="F16" i="34"/>
  <c r="F15" i="34"/>
  <c r="F14" i="34"/>
  <c r="F13" i="34"/>
  <c r="F11" i="34"/>
  <c r="F10" i="34"/>
  <c r="F9" i="34"/>
  <c r="F16" i="33"/>
  <c r="F15" i="33"/>
  <c r="F14" i="33"/>
  <c r="F13" i="33"/>
  <c r="F11" i="33"/>
  <c r="F10" i="33"/>
  <c r="F9" i="33"/>
  <c r="F16" i="32"/>
  <c r="F15" i="32"/>
  <c r="F14" i="32"/>
  <c r="F13" i="32"/>
  <c r="F11" i="32"/>
  <c r="F10" i="32"/>
  <c r="F9" i="32"/>
  <c r="F10" i="31"/>
  <c r="F10" i="10"/>
  <c r="A13" i="69"/>
  <c r="L10" i="69"/>
  <c r="N9" i="69"/>
  <c r="F8" i="68"/>
  <c r="F7" i="68"/>
  <c r="F6" i="68"/>
  <c r="F5" i="68"/>
  <c r="F4" i="68"/>
  <c r="F3" i="68"/>
  <c r="F2" i="68"/>
  <c r="C2" i="9" l="1"/>
  <c r="B2" i="67"/>
  <c r="C9" i="25" l="1"/>
  <c r="B2" i="57"/>
  <c r="B2" i="59"/>
  <c r="B2" i="60"/>
  <c r="L57" i="67"/>
  <c r="K57" i="67"/>
  <c r="J57" i="67"/>
  <c r="F57" i="67"/>
  <c r="E57" i="67"/>
  <c r="D57" i="67"/>
  <c r="L47" i="67"/>
  <c r="K47" i="67"/>
  <c r="J47" i="67"/>
  <c r="F47" i="67"/>
  <c r="E47" i="67"/>
  <c r="D47" i="67"/>
  <c r="L41" i="67"/>
  <c r="K41" i="67"/>
  <c r="J41" i="67"/>
  <c r="F41" i="67"/>
  <c r="E41" i="67"/>
  <c r="D41" i="67"/>
  <c r="L33" i="67"/>
  <c r="K33" i="67"/>
  <c r="J33" i="67"/>
  <c r="F33" i="67"/>
  <c r="F59" i="67" s="1"/>
  <c r="H8" i="27" s="1"/>
  <c r="E33" i="67"/>
  <c r="D33" i="67"/>
  <c r="L20" i="67"/>
  <c r="K20" i="67"/>
  <c r="J20" i="67"/>
  <c r="F20" i="67"/>
  <c r="E20" i="67"/>
  <c r="D20" i="67"/>
  <c r="J13" i="25"/>
  <c r="I13" i="25"/>
  <c r="J12" i="25"/>
  <c r="I12" i="25"/>
  <c r="J11" i="25"/>
  <c r="I11" i="25"/>
  <c r="E9" i="25"/>
  <c r="C8" i="25"/>
  <c r="K59" i="67" l="1"/>
  <c r="I15" i="27" s="1"/>
  <c r="D59" i="67"/>
  <c r="E59" i="67"/>
  <c r="H15" i="27" s="1"/>
  <c r="J59" i="67"/>
  <c r="I14" i="27"/>
  <c r="H17" i="27"/>
  <c r="H10" i="27"/>
  <c r="H14" i="27"/>
  <c r="H9" i="27"/>
  <c r="H16" i="27"/>
  <c r="L59" i="67"/>
  <c r="I9" i="27" s="1"/>
  <c r="I16" i="27"/>
  <c r="A13" i="66"/>
  <c r="B16" i="36"/>
  <c r="B16" i="35"/>
  <c r="B16" i="34"/>
  <c r="B16" i="33"/>
  <c r="B16" i="32"/>
  <c r="B16" i="31"/>
  <c r="B2" i="53"/>
  <c r="K8" i="51"/>
  <c r="E18" i="25"/>
  <c r="E19" i="25"/>
  <c r="I17" i="27" l="1"/>
  <c r="I10" i="27"/>
  <c r="I8" i="27"/>
  <c r="G14" i="54"/>
  <c r="F12" i="54"/>
  <c r="F11" i="54"/>
  <c r="F10" i="54"/>
  <c r="F9" i="54"/>
  <c r="F8" i="54"/>
  <c r="F7" i="54"/>
  <c r="F6" i="54"/>
  <c r="F5" i="54"/>
  <c r="F14" i="54" s="1"/>
  <c r="B15" i="54" l="1"/>
  <c r="C22" i="57" l="1"/>
  <c r="D22" i="57" s="1"/>
  <c r="C21" i="57"/>
  <c r="D21" i="57" s="1"/>
  <c r="M13" i="25"/>
  <c r="M7" i="25"/>
  <c r="M12" i="25"/>
  <c r="M11" i="25"/>
  <c r="M10" i="25"/>
  <c r="F4" i="25"/>
  <c r="M9" i="25" l="1"/>
  <c r="M8" i="25"/>
  <c r="E4" i="25"/>
  <c r="D4" i="25" s="1"/>
  <c r="R3" i="25"/>
  <c r="C14" i="25" l="1"/>
  <c r="G6" i="53"/>
  <c r="D14" i="52"/>
  <c r="P12" i="25"/>
  <c r="G13" i="30" l="1"/>
  <c r="L8" i="60" l="1"/>
  <c r="L9" i="60"/>
  <c r="D9" i="60" s="1"/>
  <c r="D24" i="60" s="1"/>
  <c r="L10" i="60"/>
  <c r="L11" i="60"/>
  <c r="L12" i="60"/>
  <c r="L13" i="60"/>
  <c r="L7" i="60"/>
  <c r="C7" i="60" s="1"/>
  <c r="K7" i="60" s="1"/>
  <c r="D10" i="36"/>
  <c r="D11" i="36"/>
  <c r="D9" i="36"/>
  <c r="D10" i="35"/>
  <c r="D11" i="35"/>
  <c r="D9" i="35"/>
  <c r="D10" i="34"/>
  <c r="D11" i="34"/>
  <c r="D9" i="34"/>
  <c r="D10" i="33"/>
  <c r="D11" i="33"/>
  <c r="D9" i="33"/>
  <c r="D10" i="32"/>
  <c r="D11" i="32"/>
  <c r="D9" i="32"/>
  <c r="D10" i="31"/>
  <c r="D11" i="31"/>
  <c r="D9" i="31"/>
  <c r="D10" i="10"/>
  <c r="D11" i="10"/>
  <c r="D9" i="10"/>
  <c r="D30" i="27"/>
  <c r="I14" i="25"/>
  <c r="S3" i="25"/>
  <c r="E14" i="25"/>
  <c r="J14" i="25"/>
  <c r="F8" i="65"/>
  <c r="F7" i="65"/>
  <c r="F6" i="65"/>
  <c r="F5" i="65"/>
  <c r="F4" i="65"/>
  <c r="F3" i="65"/>
  <c r="F2" i="65"/>
  <c r="B16" i="57"/>
  <c r="B15" i="57"/>
  <c r="B14" i="57"/>
  <c r="B13" i="57"/>
  <c r="B9" i="57"/>
  <c r="B8" i="57"/>
  <c r="B6" i="57"/>
  <c r="G11" i="60" l="1"/>
  <c r="G26" i="60" s="1"/>
  <c r="J11" i="60"/>
  <c r="J26" i="60" s="1"/>
  <c r="G10" i="60"/>
  <c r="G25" i="60" s="1"/>
  <c r="F10" i="60"/>
  <c r="F25" i="60" s="1"/>
  <c r="J13" i="60"/>
  <c r="I13" i="60"/>
  <c r="G14" i="25"/>
  <c r="H14" i="25"/>
  <c r="J12" i="60"/>
  <c r="J27" i="60" s="1"/>
  <c r="I12" i="60"/>
  <c r="I27" i="60" s="1"/>
  <c r="I11" i="60"/>
  <c r="I26" i="60" s="1"/>
  <c r="H12" i="60"/>
  <c r="H27" i="60" s="1"/>
  <c r="D8" i="60"/>
  <c r="D23" i="60" s="1"/>
  <c r="F9" i="60"/>
  <c r="F24" i="60" s="1"/>
  <c r="C9" i="60"/>
  <c r="C24" i="60" s="1"/>
  <c r="K10" i="60"/>
  <c r="E9" i="60"/>
  <c r="E24" i="60" s="1"/>
  <c r="G12" i="60"/>
  <c r="G27" i="60" s="1"/>
  <c r="C8" i="60"/>
  <c r="C23" i="60" s="1"/>
  <c r="H11" i="60"/>
  <c r="H26" i="60" s="1"/>
  <c r="K11" i="25"/>
  <c r="D14" i="25"/>
  <c r="K7" i="25"/>
  <c r="K13" i="25"/>
  <c r="K12" i="25"/>
  <c r="K10" i="25" l="1"/>
  <c r="K8" i="25"/>
  <c r="K13" i="60"/>
  <c r="K9" i="60"/>
  <c r="K8" i="60"/>
  <c r="K12" i="60"/>
  <c r="K11" i="60"/>
  <c r="F14" i="25"/>
  <c r="K9" i="25"/>
  <c r="K14" i="25" l="1"/>
  <c r="L8" i="25" s="1"/>
  <c r="L9" i="25" l="1"/>
  <c r="L11" i="25"/>
  <c r="L13" i="25"/>
  <c r="L12" i="25"/>
  <c r="L7" i="25"/>
  <c r="L10" i="25"/>
  <c r="D14" i="54"/>
  <c r="E14" i="54"/>
  <c r="H9" i="41"/>
  <c r="H18" i="9"/>
  <c r="H13" i="9"/>
  <c r="G12" i="30"/>
  <c r="G11" i="30"/>
  <c r="I11" i="27" l="1"/>
  <c r="I18" i="27"/>
  <c r="F9" i="31" l="1"/>
  <c r="F9" i="10"/>
  <c r="I21" i="27"/>
  <c r="C19" i="25" s="1"/>
  <c r="G30" i="10"/>
  <c r="G29" i="10"/>
  <c r="G28" i="10"/>
  <c r="G30" i="31"/>
  <c r="G29" i="31"/>
  <c r="G28" i="31"/>
  <c r="G30" i="32"/>
  <c r="G30" i="33"/>
  <c r="G29" i="33"/>
  <c r="G28" i="33"/>
  <c r="G30" i="34"/>
  <c r="G29" i="34"/>
  <c r="G28" i="34"/>
  <c r="G30" i="35"/>
  <c r="G29" i="35"/>
  <c r="G28" i="35"/>
  <c r="G31" i="36"/>
  <c r="G30" i="36"/>
  <c r="G29" i="36"/>
  <c r="G29" i="37"/>
  <c r="G28" i="37"/>
  <c r="G27" i="37"/>
  <c r="G26" i="10"/>
  <c r="G25" i="10"/>
  <c r="G24" i="10"/>
  <c r="G23" i="10"/>
  <c r="G26" i="31"/>
  <c r="G25" i="31"/>
  <c r="G24" i="31"/>
  <c r="G23" i="31"/>
  <c r="G26" i="32"/>
  <c r="G25" i="32"/>
  <c r="G24" i="32"/>
  <c r="G23" i="32"/>
  <c r="G26" i="33"/>
  <c r="G25" i="33"/>
  <c r="G24" i="33"/>
  <c r="G23" i="33"/>
  <c r="G26" i="34"/>
  <c r="G25" i="34"/>
  <c r="G24" i="34"/>
  <c r="G23" i="34"/>
  <c r="G26" i="35"/>
  <c r="G25" i="35"/>
  <c r="G24" i="35"/>
  <c r="G23" i="35"/>
  <c r="G27" i="36"/>
  <c r="G26" i="36"/>
  <c r="G25" i="36"/>
  <c r="G24" i="36"/>
  <c r="G25" i="37"/>
  <c r="G24" i="37"/>
  <c r="G23" i="37"/>
  <c r="G22" i="37"/>
  <c r="G25" i="38"/>
  <c r="G24" i="38"/>
  <c r="G23" i="38"/>
  <c r="G22" i="38"/>
  <c r="G25" i="39"/>
  <c r="G24" i="39"/>
  <c r="G23" i="39"/>
  <c r="G22" i="39"/>
  <c r="G19" i="40"/>
  <c r="G18" i="40"/>
  <c r="G17" i="40"/>
  <c r="G19" i="39"/>
  <c r="G18" i="39"/>
  <c r="G17" i="39"/>
  <c r="G19" i="38"/>
  <c r="G18" i="38"/>
  <c r="G17" i="38"/>
  <c r="G19" i="37"/>
  <c r="G18" i="37"/>
  <c r="G17" i="37"/>
  <c r="G21" i="36"/>
  <c r="G20" i="36"/>
  <c r="G19" i="36"/>
  <c r="G20" i="35"/>
  <c r="G19" i="35"/>
  <c r="G18" i="35"/>
  <c r="G20" i="34"/>
  <c r="G19" i="34"/>
  <c r="G18" i="34"/>
  <c r="G20" i="33"/>
  <c r="G19" i="33"/>
  <c r="G18" i="33"/>
  <c r="G20" i="32"/>
  <c r="G19" i="32"/>
  <c r="G18" i="32"/>
  <c r="G20" i="31"/>
  <c r="G19" i="31"/>
  <c r="G18" i="31"/>
  <c r="B2" i="64"/>
  <c r="H9" i="64"/>
  <c r="H8" i="64"/>
  <c r="H7" i="64"/>
  <c r="G20" i="10"/>
  <c r="G19" i="10"/>
  <c r="G18" i="10"/>
  <c r="D12" i="52"/>
  <c r="C23" i="57" s="1"/>
  <c r="D23" i="57" s="1"/>
  <c r="F14" i="55" l="1"/>
  <c r="H10" i="64"/>
  <c r="H12" i="64" s="1"/>
  <c r="F19" i="25"/>
  <c r="F15" i="31"/>
  <c r="F14" i="40" l="1"/>
  <c r="G14" i="40" s="1"/>
  <c r="F14" i="38"/>
  <c r="G14" i="38" s="1"/>
  <c r="G15" i="36"/>
  <c r="G15" i="34"/>
  <c r="G15" i="33"/>
  <c r="G15" i="32"/>
  <c r="G15" i="31"/>
  <c r="F15" i="10"/>
  <c r="G15" i="10" s="1"/>
  <c r="F14" i="39"/>
  <c r="G14" i="39" s="1"/>
  <c r="F14" i="37"/>
  <c r="G14" i="37" s="1"/>
  <c r="G15" i="35"/>
  <c r="B2" i="30"/>
  <c r="C14" i="55" l="1"/>
  <c r="H12" i="55"/>
  <c r="G12" i="55"/>
  <c r="F12" i="55"/>
  <c r="E12" i="55"/>
  <c r="C12" i="55"/>
  <c r="I10" i="55"/>
  <c r="C10" i="55"/>
  <c r="B2" i="55" l="1"/>
  <c r="B2" i="54" l="1"/>
  <c r="G29" i="40"/>
  <c r="G28" i="40"/>
  <c r="G27" i="40"/>
  <c r="G25" i="40"/>
  <c r="G24" i="40"/>
  <c r="G23" i="40"/>
  <c r="G22" i="40"/>
  <c r="B1" i="40" l="1"/>
  <c r="G29" i="39"/>
  <c r="G28" i="39"/>
  <c r="G27" i="39"/>
  <c r="B1" i="39"/>
  <c r="G29" i="38"/>
  <c r="G28" i="38"/>
  <c r="G27" i="38"/>
  <c r="B1" i="38"/>
  <c r="D9" i="37"/>
  <c r="D10" i="37" s="1"/>
  <c r="B1" i="37"/>
  <c r="I12" i="55"/>
  <c r="B2" i="36"/>
  <c r="H14" i="55"/>
  <c r="H10" i="55"/>
  <c r="B2" i="35"/>
  <c r="G14" i="55"/>
  <c r="G10" i="55"/>
  <c r="B2" i="34"/>
  <c r="F10" i="55"/>
  <c r="B2" i="33"/>
  <c r="E10" i="55"/>
  <c r="B2" i="32"/>
  <c r="D12" i="55"/>
  <c r="D10" i="55"/>
  <c r="B2" i="31"/>
  <c r="B2" i="10"/>
  <c r="G18" i="53"/>
  <c r="G17" i="53"/>
  <c r="G16" i="53"/>
  <c r="G13" i="53"/>
  <c r="G12" i="53"/>
  <c r="G11" i="53"/>
  <c r="G10" i="53"/>
  <c r="G9" i="53"/>
  <c r="G8" i="53"/>
  <c r="H10" i="41"/>
  <c r="H8" i="41"/>
  <c r="B2" i="41"/>
  <c r="H17" i="9"/>
  <c r="H16" i="9"/>
  <c r="H12" i="9"/>
  <c r="H11" i="9"/>
  <c r="H10" i="9"/>
  <c r="H9" i="9"/>
  <c r="H8" i="9"/>
  <c r="C17" i="57" l="1"/>
  <c r="G19" i="53"/>
  <c r="G14" i="53"/>
  <c r="H19" i="9"/>
  <c r="H14" i="9"/>
  <c r="B2" i="51"/>
  <c r="K10" i="55" l="1"/>
  <c r="H21" i="9"/>
  <c r="F13" i="31" s="1"/>
  <c r="D17" i="57"/>
  <c r="G13" i="33" l="1"/>
  <c r="F12" i="40"/>
  <c r="G12" i="40" s="1"/>
  <c r="F12" i="38"/>
  <c r="G12" i="38" s="1"/>
  <c r="G13" i="36"/>
  <c r="G13" i="34"/>
  <c r="F12" i="39"/>
  <c r="G12" i="39" s="1"/>
  <c r="G13" i="35"/>
  <c r="G13" i="31"/>
  <c r="F12" i="37"/>
  <c r="G12" i="37" s="1"/>
  <c r="G13" i="32"/>
  <c r="F13" i="10"/>
  <c r="G13" i="10" s="1"/>
  <c r="N13" i="25"/>
  <c r="N11" i="25" l="1"/>
  <c r="N9" i="25"/>
  <c r="N10" i="25"/>
  <c r="N12" i="25"/>
  <c r="E9" i="35" s="1"/>
  <c r="N8" i="25"/>
  <c r="B2" i="25"/>
  <c r="G10" i="30"/>
  <c r="G9" i="30"/>
  <c r="G8" i="30"/>
  <c r="G7" i="30"/>
  <c r="G6" i="30"/>
  <c r="N7" i="25" l="1"/>
  <c r="B2" i="27"/>
  <c r="B2" i="52"/>
  <c r="C10" i="57" l="1"/>
  <c r="C18" i="25"/>
  <c r="K9" i="51"/>
  <c r="G28" i="32" s="1"/>
  <c r="L14" i="25"/>
  <c r="C16" i="57"/>
  <c r="F10" i="39"/>
  <c r="F10" i="37"/>
  <c r="F11" i="31"/>
  <c r="F11" i="10"/>
  <c r="F10" i="40"/>
  <c r="F10" i="38"/>
  <c r="F18" i="25" l="1"/>
  <c r="E20" i="25" s="1"/>
  <c r="C20" i="25"/>
  <c r="K16" i="51"/>
  <c r="L16" i="51" s="1"/>
  <c r="K12" i="51"/>
  <c r="L8" i="51"/>
  <c r="C15" i="57"/>
  <c r="L9" i="51"/>
  <c r="C6" i="57"/>
  <c r="C14" i="57"/>
  <c r="C13" i="57"/>
  <c r="C8" i="57"/>
  <c r="K11" i="51"/>
  <c r="L11" i="51" s="1"/>
  <c r="K13" i="51"/>
  <c r="L13" i="51" s="1"/>
  <c r="K15" i="51"/>
  <c r="G29" i="32" s="1"/>
  <c r="K10" i="51"/>
  <c r="L10" i="51" s="1"/>
  <c r="K14" i="51"/>
  <c r="L14" i="51" s="1"/>
  <c r="L12" i="51"/>
  <c r="I14" i="55"/>
  <c r="J30" i="25" l="1"/>
  <c r="I29" i="25"/>
  <c r="G29" i="25"/>
  <c r="F26" i="25"/>
  <c r="C26" i="25"/>
  <c r="H29" i="25"/>
  <c r="G27" i="25"/>
  <c r="C24" i="25"/>
  <c r="H28" i="25"/>
  <c r="F27" i="25"/>
  <c r="J29" i="25"/>
  <c r="I28" i="25"/>
  <c r="G28" i="25"/>
  <c r="E26" i="25"/>
  <c r="C25" i="25"/>
  <c r="J28" i="25"/>
  <c r="D26" i="25"/>
  <c r="I30" i="25"/>
  <c r="D25" i="25"/>
  <c r="C9" i="57"/>
  <c r="H11" i="27"/>
  <c r="D14" i="55"/>
  <c r="H18" i="27"/>
  <c r="L15" i="51"/>
  <c r="L18" i="51" s="1"/>
  <c r="C12" i="57" s="1"/>
  <c r="D12" i="57" s="1"/>
  <c r="E14" i="55"/>
  <c r="F8" i="39" l="1"/>
  <c r="F8" i="40"/>
  <c r="F8" i="37"/>
  <c r="E9" i="34"/>
  <c r="E11" i="34" s="1"/>
  <c r="G11" i="34" s="1"/>
  <c r="F8" i="38"/>
  <c r="F9" i="39"/>
  <c r="F9" i="40"/>
  <c r="F9" i="37"/>
  <c r="F9" i="38"/>
  <c r="E10" i="34" l="1"/>
  <c r="G9" i="34" s="1"/>
  <c r="E8" i="38"/>
  <c r="E9" i="31"/>
  <c r="G9" i="31" s="1"/>
  <c r="E9" i="33"/>
  <c r="E8" i="37"/>
  <c r="E8" i="39"/>
  <c r="E9" i="32"/>
  <c r="E9" i="36"/>
  <c r="E9" i="10"/>
  <c r="G9" i="10" s="1"/>
  <c r="E8" i="40"/>
  <c r="G8" i="40" s="1"/>
  <c r="D15" i="57"/>
  <c r="D6" i="57"/>
  <c r="D8" i="57"/>
  <c r="D9" i="57"/>
  <c r="D10" i="57"/>
  <c r="D13" i="57"/>
  <c r="D14" i="57"/>
  <c r="D16" i="57"/>
  <c r="C18" i="57"/>
  <c r="D18" i="57" l="1"/>
  <c r="E10" i="40"/>
  <c r="G10" i="40" s="1"/>
  <c r="E9" i="40"/>
  <c r="G9" i="40" s="1"/>
  <c r="E10" i="39"/>
  <c r="G10" i="39" s="1"/>
  <c r="E9" i="39"/>
  <c r="G9" i="39" s="1"/>
  <c r="G8" i="39"/>
  <c r="E10" i="38"/>
  <c r="G10" i="38" s="1"/>
  <c r="E9" i="38"/>
  <c r="G9" i="38" s="1"/>
  <c r="G8" i="38"/>
  <c r="E10" i="37"/>
  <c r="G10" i="37" s="1"/>
  <c r="E9" i="37"/>
  <c r="G9" i="37" s="1"/>
  <c r="G8" i="37"/>
  <c r="E11" i="36"/>
  <c r="G11" i="36" s="1"/>
  <c r="E10" i="36"/>
  <c r="G9" i="36"/>
  <c r="E10" i="35"/>
  <c r="G10" i="35" s="1"/>
  <c r="E11" i="35"/>
  <c r="G11" i="35" s="1"/>
  <c r="G9" i="35"/>
  <c r="G10" i="34"/>
  <c r="G6" i="55" s="1"/>
  <c r="E11" i="33"/>
  <c r="G11" i="33" s="1"/>
  <c r="E10" i="33"/>
  <c r="G10" i="33" s="1"/>
  <c r="G9" i="33"/>
  <c r="E10" i="32"/>
  <c r="G10" i="32" s="1"/>
  <c r="E11" i="32"/>
  <c r="G11" i="32" s="1"/>
  <c r="G9" i="32"/>
  <c r="E10" i="31"/>
  <c r="G10" i="31" s="1"/>
  <c r="E11" i="31"/>
  <c r="G11" i="31" s="1"/>
  <c r="E10" i="10"/>
  <c r="G10" i="10" s="1"/>
  <c r="E11" i="10"/>
  <c r="G11" i="10" s="1"/>
  <c r="H10" i="59"/>
  <c r="J10" i="59"/>
  <c r="D11" i="59"/>
  <c r="J11" i="59"/>
  <c r="D12" i="59"/>
  <c r="F12" i="59"/>
  <c r="D13" i="59"/>
  <c r="E14" i="59"/>
  <c r="G14" i="59"/>
  <c r="G10" i="59"/>
  <c r="I10" i="59"/>
  <c r="E11" i="59"/>
  <c r="I11" i="59"/>
  <c r="E12" i="59"/>
  <c r="E13" i="59"/>
  <c r="D14" i="59"/>
  <c r="F14" i="59"/>
  <c r="H14" i="59"/>
  <c r="H8" i="59" l="1"/>
  <c r="H31" i="25"/>
  <c r="D8" i="59"/>
  <c r="D31" i="25"/>
  <c r="E8" i="59"/>
  <c r="E31" i="25"/>
  <c r="J8" i="59"/>
  <c r="J31" i="25"/>
  <c r="G8" i="59"/>
  <c r="G31" i="25"/>
  <c r="I8" i="59"/>
  <c r="I31" i="25"/>
  <c r="C31" i="25"/>
  <c r="F8" i="59"/>
  <c r="F31" i="25"/>
  <c r="C14" i="59"/>
  <c r="K30" i="25"/>
  <c r="C13" i="59"/>
  <c r="K29" i="25"/>
  <c r="C12" i="59"/>
  <c r="K28" i="25"/>
  <c r="C11" i="59"/>
  <c r="K27" i="25"/>
  <c r="K26" i="25"/>
  <c r="K25" i="25"/>
  <c r="K24" i="25"/>
  <c r="D6" i="55"/>
  <c r="F6" i="55"/>
  <c r="H6" i="55"/>
  <c r="C6" i="55"/>
  <c r="I6" i="55"/>
  <c r="E6" i="55"/>
  <c r="K31" i="25" l="1"/>
  <c r="L31" i="25" s="1"/>
  <c r="J6" i="55"/>
  <c r="J16" i="55" s="1"/>
  <c r="K16" i="55" s="1"/>
  <c r="L25" i="25" l="1"/>
  <c r="L24" i="25"/>
  <c r="L26" i="25"/>
  <c r="L30" i="25"/>
  <c r="L27" i="25"/>
  <c r="L28" i="25"/>
  <c r="L29" i="25"/>
  <c r="K6" i="55"/>
  <c r="H11" i="41"/>
  <c r="H13" i="41" s="1"/>
  <c r="F14" i="31" s="1"/>
  <c r="G14" i="32" l="1"/>
  <c r="F14" i="10"/>
  <c r="G14" i="10" s="1"/>
  <c r="F13" i="40"/>
  <c r="G13" i="40" s="1"/>
  <c r="F13" i="39"/>
  <c r="G13" i="39" s="1"/>
  <c r="F13" i="38"/>
  <c r="G13" i="38" s="1"/>
  <c r="F13" i="37"/>
  <c r="G13" i="37" s="1"/>
  <c r="G14" i="36"/>
  <c r="G14" i="35"/>
  <c r="G14" i="34"/>
  <c r="G14" i="33"/>
  <c r="G14" i="31"/>
  <c r="G21" i="53" l="1"/>
  <c r="C11" i="57" l="1"/>
  <c r="F16" i="31"/>
  <c r="G16" i="31" s="1"/>
  <c r="F15" i="40"/>
  <c r="G15" i="40" s="1"/>
  <c r="F15" i="38"/>
  <c r="G15" i="38" s="1"/>
  <c r="G16" i="36"/>
  <c r="G16" i="34"/>
  <c r="G16" i="33"/>
  <c r="F15" i="39"/>
  <c r="G15" i="39" s="1"/>
  <c r="F15" i="37"/>
  <c r="G15" i="37" s="1"/>
  <c r="G16" i="35"/>
  <c r="G16" i="32"/>
  <c r="F16" i="10"/>
  <c r="G16" i="10" s="1"/>
  <c r="D11" i="57"/>
  <c r="I12" i="59" l="1"/>
  <c r="G12" i="59"/>
  <c r="J14" i="59"/>
  <c r="I14" i="59"/>
  <c r="F10" i="59"/>
  <c r="E10" i="59"/>
  <c r="D10" i="59"/>
  <c r="G11" i="59"/>
  <c r="F11" i="59"/>
  <c r="I13" i="59"/>
  <c r="H13" i="59"/>
  <c r="J13" i="59"/>
  <c r="G13" i="59"/>
  <c r="J12" i="59"/>
  <c r="G32" i="36"/>
  <c r="I8" i="55"/>
  <c r="I16" i="55" s="1"/>
  <c r="I18" i="55" s="1"/>
  <c r="G31" i="34"/>
  <c r="G8" i="55"/>
  <c r="G16" i="55" s="1"/>
  <c r="G18" i="55" s="1"/>
  <c r="G30" i="38"/>
  <c r="G30" i="37"/>
  <c r="C8" i="55"/>
  <c r="C16" i="55" s="1"/>
  <c r="C18" i="55" s="1"/>
  <c r="G31" i="10"/>
  <c r="G30" i="39"/>
  <c r="G31" i="32"/>
  <c r="E8" i="55"/>
  <c r="E16" i="55" s="1"/>
  <c r="E18" i="55" s="1"/>
  <c r="F8" i="55"/>
  <c r="F16" i="55" s="1"/>
  <c r="F18" i="55" s="1"/>
  <c r="G31" i="33"/>
  <c r="D8" i="55"/>
  <c r="D16" i="55" s="1"/>
  <c r="D18" i="55" s="1"/>
  <c r="G31" i="31"/>
  <c r="H8" i="55"/>
  <c r="G31" i="35"/>
  <c r="G30" i="40"/>
  <c r="K22" i="60" l="1"/>
  <c r="C8" i="59"/>
  <c r="K8" i="59" s="1"/>
  <c r="G29" i="60"/>
  <c r="G9" i="59"/>
  <c r="G15" i="59" s="1"/>
  <c r="K23" i="60"/>
  <c r="C9" i="59"/>
  <c r="K25" i="60"/>
  <c r="H11" i="59"/>
  <c r="K11" i="59" s="1"/>
  <c r="K24" i="60"/>
  <c r="C10" i="59"/>
  <c r="K10" i="59" s="1"/>
  <c r="E29" i="60"/>
  <c r="E9" i="59"/>
  <c r="E15" i="59" s="1"/>
  <c r="K27" i="60"/>
  <c r="F13" i="59"/>
  <c r="K13" i="59" s="1"/>
  <c r="J29" i="60"/>
  <c r="J9" i="59"/>
  <c r="J15" i="59" s="1"/>
  <c r="I29" i="60"/>
  <c r="I9" i="59"/>
  <c r="I15" i="59" s="1"/>
  <c r="C29" i="60"/>
  <c r="F29" i="60"/>
  <c r="F9" i="59"/>
  <c r="D29" i="60"/>
  <c r="D9" i="59"/>
  <c r="D15" i="59" s="1"/>
  <c r="H29" i="60"/>
  <c r="H9" i="59"/>
  <c r="K28" i="60"/>
  <c r="K14" i="59"/>
  <c r="K26" i="60"/>
  <c r="H12" i="59"/>
  <c r="K12" i="59" s="1"/>
  <c r="C7" i="57"/>
  <c r="H16" i="55"/>
  <c r="H18" i="55" s="1"/>
  <c r="F15" i="59" l="1"/>
  <c r="C15" i="59"/>
  <c r="K9" i="59"/>
  <c r="K18" i="55"/>
  <c r="K29" i="60"/>
  <c r="H15" i="59"/>
  <c r="D7" i="57"/>
  <c r="E15" i="57" s="1"/>
  <c r="I16" i="59" l="1"/>
  <c r="G16" i="59"/>
  <c r="J16" i="59"/>
  <c r="F16" i="59"/>
  <c r="K15" i="59"/>
  <c r="L9" i="59" s="1"/>
  <c r="C16" i="59"/>
  <c r="E16" i="59"/>
  <c r="D16" i="59"/>
  <c r="H16" i="59"/>
  <c r="E7" i="57"/>
  <c r="E8" i="57"/>
  <c r="E6" i="57"/>
  <c r="F6" i="57" s="1"/>
  <c r="E9" i="57"/>
  <c r="E10" i="57"/>
  <c r="E12" i="57"/>
  <c r="E13" i="57"/>
  <c r="E14" i="57"/>
  <c r="E16" i="57"/>
  <c r="E17" i="57"/>
  <c r="E18" i="57"/>
  <c r="E11" i="57"/>
  <c r="L8" i="59" l="1"/>
  <c r="L15" i="59"/>
  <c r="K16" i="59"/>
  <c r="L14" i="59"/>
  <c r="L11" i="59"/>
  <c r="L10" i="59"/>
  <c r="L13" i="59"/>
  <c r="L12" i="59"/>
  <c r="E20" i="55"/>
  <c r="G20" i="55"/>
  <c r="F20" i="55"/>
  <c r="C20" i="55"/>
  <c r="D20" i="55"/>
  <c r="H22" i="55"/>
  <c r="I20" i="55"/>
  <c r="H20" i="55"/>
  <c r="F7" i="57"/>
  <c r="F8" i="57" s="1"/>
  <c r="F9" i="57" s="1"/>
  <c r="F10" i="57" s="1"/>
  <c r="F11" i="57" s="1"/>
  <c r="F12" i="57" s="1"/>
  <c r="F13" i="57" s="1"/>
  <c r="F14" i="57" s="1"/>
  <c r="F15" i="57" l="1"/>
  <c r="F16" i="57" s="1"/>
  <c r="F17" i="57" s="1"/>
  <c r="F18" i="57" s="1"/>
  <c r="J20" i="55"/>
</calcChain>
</file>

<file path=xl/sharedStrings.xml><?xml version="1.0" encoding="utf-8"?>
<sst xmlns="http://schemas.openxmlformats.org/spreadsheetml/2006/main" count="1518" uniqueCount="469">
  <si>
    <t>1.3</t>
  </si>
  <si>
    <t>1.4</t>
  </si>
  <si>
    <t>INSS</t>
  </si>
  <si>
    <t>FGTS</t>
  </si>
  <si>
    <t>Custo Total</t>
  </si>
  <si>
    <t>Unidade</t>
  </si>
  <si>
    <t>Mês</t>
  </si>
  <si>
    <t>Unitário</t>
  </si>
  <si>
    <t>2.1</t>
  </si>
  <si>
    <t>1.1</t>
  </si>
  <si>
    <t>1.2</t>
  </si>
  <si>
    <t>1.5</t>
  </si>
  <si>
    <t>1.6</t>
  </si>
  <si>
    <t>2.2</t>
  </si>
  <si>
    <t>2.3</t>
  </si>
  <si>
    <t>2.4</t>
  </si>
  <si>
    <t>Quantidade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</si>
  <si>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</si>
  <si>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</si>
  <si>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</si>
  <si>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</si>
  <si>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</si>
  <si>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</si>
  <si>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</si>
  <si>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</si>
  <si>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Fonte:                      Cargo:</t>
  </si>
  <si>
    <t>Equipe Técnica Permanente Mínima de nível superior</t>
  </si>
  <si>
    <t>Equipe Técnica Permanente Mínima de nível médio</t>
  </si>
  <si>
    <t>Itens de mobilização social</t>
  </si>
  <si>
    <t>unitário</t>
  </si>
  <si>
    <t>Valor Unitário (Preencher)</t>
  </si>
  <si>
    <t>Quantidade (Preencher)</t>
  </si>
  <si>
    <t>Total</t>
  </si>
  <si>
    <t>Plotagem de Plantas, mapas, desenhos e afins (Formatos A1 e A0)</t>
  </si>
  <si>
    <t>meses</t>
  </si>
  <si>
    <t>Equipe Técnica Eventual</t>
  </si>
  <si>
    <t>Valor unitário</t>
  </si>
  <si>
    <t>Observação</t>
  </si>
  <si>
    <t>Itens necessários para deslocamento terrestre</t>
  </si>
  <si>
    <t>Combustível médio gasto para deslocamento de ida e volta</t>
  </si>
  <si>
    <t>Diárias para tempo médio de estadia na localidade por funcionário deslocado / média de funcionários deslocados</t>
  </si>
  <si>
    <t>diárias / funcionários</t>
  </si>
  <si>
    <t>Deslocamento Terrestre</t>
  </si>
  <si>
    <t>Total Produto</t>
  </si>
  <si>
    <t>% Produto</t>
  </si>
  <si>
    <t>Produto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</si>
  <si>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</si>
  <si>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</si>
  <si>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</si>
  <si>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</si>
  <si>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</si>
  <si>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</si>
  <si>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</si>
  <si>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</si>
  <si>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</si>
  <si>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</si>
  <si>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</si>
  <si>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Item de Despesa</t>
  </si>
  <si>
    <t>% de equipe mensal necessária para cada produto</t>
  </si>
  <si>
    <t>Utilização</t>
  </si>
  <si>
    <t>Custo Total do Produto A</t>
  </si>
  <si>
    <t>Custo Total do Produto B</t>
  </si>
  <si>
    <t>Custos Fixos</t>
  </si>
  <si>
    <t>Custos de Mobilização</t>
  </si>
  <si>
    <t>Outros Custos do Produto</t>
  </si>
  <si>
    <t>Custo Total do Produto C</t>
  </si>
  <si>
    <t>Custo Total do Produto D</t>
  </si>
  <si>
    <t>Custo Total do Produto E</t>
  </si>
  <si>
    <t>Custo Total do Produto F</t>
  </si>
  <si>
    <t>Custo Total do Produto G</t>
  </si>
  <si>
    <t>Custo Total do Produto H</t>
  </si>
  <si>
    <t>Custo Total do Produto I</t>
  </si>
  <si>
    <t>Custo Total do Produto J</t>
  </si>
  <si>
    <t>Custo Total do Produto K</t>
  </si>
  <si>
    <t>Número meses</t>
  </si>
  <si>
    <t>Horas semanais</t>
  </si>
  <si>
    <t>TOTAL A</t>
  </si>
  <si>
    <t>TOTAL B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</si>
  <si>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</si>
  <si>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</si>
  <si>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</si>
  <si>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</si>
  <si>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</si>
  <si>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</si>
  <si>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</si>
  <si>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</si>
  <si>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</si>
  <si>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SENAI</t>
  </si>
  <si>
    <t>INCRA</t>
  </si>
  <si>
    <t>SEBRAE</t>
  </si>
  <si>
    <t>SECONCI</t>
  </si>
  <si>
    <t>B1</t>
  </si>
  <si>
    <t>B2</t>
  </si>
  <si>
    <t>B4</t>
  </si>
  <si>
    <t>B6</t>
  </si>
  <si>
    <t>B5</t>
  </si>
  <si>
    <t>B3</t>
  </si>
  <si>
    <t>C1</t>
  </si>
  <si>
    <t>C2</t>
  </si>
  <si>
    <t>B7</t>
  </si>
  <si>
    <t>-</t>
  </si>
  <si>
    <t>Nome do Município</t>
  </si>
  <si>
    <t>População Censo 2010</t>
  </si>
  <si>
    <t>Quantidade de Setores de Mobilização Social</t>
  </si>
  <si>
    <t>Itens da estrutura de apoio</t>
  </si>
  <si>
    <t>Estrutura de apoio</t>
  </si>
  <si>
    <t>Equipe técnica permanente</t>
  </si>
  <si>
    <t>litro</t>
  </si>
  <si>
    <t>Quantidade de Setores de Mobilização Social em localidades remotas</t>
  </si>
  <si>
    <t>Custos Gráficos</t>
  </si>
  <si>
    <t xml:space="preserve">Impressão do produto </t>
  </si>
  <si>
    <t xml:space="preserve">Encadernação do produto </t>
  </si>
  <si>
    <t>AC</t>
  </si>
  <si>
    <t>DF</t>
  </si>
  <si>
    <t>R</t>
  </si>
  <si>
    <t>L</t>
  </si>
  <si>
    <t>Administração Central</t>
  </si>
  <si>
    <t>Despesas Financeiras</t>
  </si>
  <si>
    <t>Risco</t>
  </si>
  <si>
    <t>Garantia</t>
  </si>
  <si>
    <t>Lucro</t>
  </si>
  <si>
    <t>ISS</t>
  </si>
  <si>
    <t>COFINS</t>
  </si>
  <si>
    <t>PIS</t>
  </si>
  <si>
    <t>Custo Total com BDI</t>
  </si>
  <si>
    <t>Custo Total do PMSB</t>
  </si>
  <si>
    <t>D1</t>
  </si>
  <si>
    <t>Planilha de Custos FIXOS sem BDI por Item de Despesa</t>
  </si>
  <si>
    <t>Custo Total sem BDI</t>
  </si>
  <si>
    <t>%</t>
  </si>
  <si>
    <t>% Acumulado</t>
  </si>
  <si>
    <t>Secretária</t>
  </si>
  <si>
    <t>Item</t>
  </si>
  <si>
    <t>Outros Custos</t>
  </si>
  <si>
    <t>Valor sem BDI</t>
  </si>
  <si>
    <t>Estrutura de Apoio</t>
  </si>
  <si>
    <t>Valor com BDI</t>
  </si>
  <si>
    <t>1.7</t>
  </si>
  <si>
    <t>1.8</t>
  </si>
  <si>
    <t>1.9</t>
  </si>
  <si>
    <t>Custo Variável</t>
  </si>
  <si>
    <t>sem BDI</t>
  </si>
  <si>
    <t>TOTAL C</t>
  </si>
  <si>
    <t>TOTAL D</t>
  </si>
  <si>
    <t>Total do BDI</t>
  </si>
  <si>
    <t>Custo Total com Equipe Técnica Eventual</t>
  </si>
  <si>
    <t>% Produtos</t>
  </si>
  <si>
    <t>Planilha de Cronograma Físico Financeiro do PMSB</t>
  </si>
  <si>
    <t>Relatório sobre os indicadores de desempenho do Plano Municipal de Saneamento Básico</t>
  </si>
  <si>
    <t>Sistema de informações para auxílio à tomada de decisão</t>
  </si>
  <si>
    <t>Relatório mensal simplificado do andamento das atividades desenvolvidas</t>
  </si>
  <si>
    <t>Relatório final do Plano Municipal de Saneamento Básico</t>
  </si>
  <si>
    <t>Adotado</t>
  </si>
  <si>
    <t>Mínimo</t>
  </si>
  <si>
    <t>Máximo</t>
  </si>
  <si>
    <t>Número adotado de eventos setoriais no Município</t>
  </si>
  <si>
    <t>Número adotado de eventos por setor</t>
  </si>
  <si>
    <t>Número de eventos no Município em localidades remotas</t>
  </si>
  <si>
    <t>Itens de conferência municipal</t>
  </si>
  <si>
    <t>Conferência Municipal</t>
  </si>
  <si>
    <t>Evento Setorial</t>
  </si>
  <si>
    <t>Quantidade de profissionais</t>
  </si>
  <si>
    <t>Custo Mensal Adotado</t>
  </si>
  <si>
    <t>Custo Mensal da Equipe Técnica Permanente</t>
  </si>
  <si>
    <t>Equipe Técnica Permanente de Nível Superior</t>
  </si>
  <si>
    <t>Quantidade de Profissionais</t>
  </si>
  <si>
    <t>Equipe Técnica Permanente de Nível Médio</t>
  </si>
  <si>
    <t>Custo Mensal da Equipe Técnica de Nível Superior</t>
  </si>
  <si>
    <t>Custo Mensal da Equipe Técnica de Nível Médio</t>
  </si>
  <si>
    <t>Custo Mensal da Estrutura de Apoio</t>
  </si>
  <si>
    <t xml:space="preserve">Valor Unitário </t>
  </si>
  <si>
    <t>Planilha de Ponderação dos Pesos Relativos aos Custos Fixos de Cada Produto</t>
  </si>
  <si>
    <t>FIXO Total</t>
  </si>
  <si>
    <t>FIXO Mensal</t>
  </si>
  <si>
    <t>% Utilização Mensal</t>
  </si>
  <si>
    <t>Prazo de Execução (Meses)</t>
  </si>
  <si>
    <t>Cronograma Financeiro de Custos Fixos por Produto</t>
  </si>
  <si>
    <t>Custo Mensal</t>
  </si>
  <si>
    <t>Horas semanais (Apenas para Mensalistas)</t>
  </si>
  <si>
    <t>Custo Adotado do Profissional</t>
  </si>
  <si>
    <t>Regime de Contratação (Horista/Mensalista)</t>
  </si>
  <si>
    <t>mensalista</t>
  </si>
  <si>
    <t>horista</t>
  </si>
  <si>
    <t>Produtos que Demandarão o Profissional</t>
  </si>
  <si>
    <t>Tempo (Horas ou Meses)</t>
  </si>
  <si>
    <t>Planilha de Ponderação dos Pesos Relativos aos Custos Variáveis dos Produtos</t>
  </si>
  <si>
    <t>Cronograma Financeiro de Custos Variáveis sem BDI por Produto</t>
  </si>
  <si>
    <t>Custo total médio para realização de 1 evento setorial com mobilização social</t>
  </si>
  <si>
    <t>Itens do evento setorial</t>
  </si>
  <si>
    <t>Custo Adicional Médio de 1 Evento em Localidade Remota com Acesso Terrestre</t>
  </si>
  <si>
    <t>Custo dos Profissionais + Encargos Sociais</t>
  </si>
  <si>
    <t>Deslocamento Hidroviário</t>
  </si>
  <si>
    <t>Aluguel de barco para transporte da equipe técnica</t>
  </si>
  <si>
    <t>Aluguel de onibus para transporte da população</t>
  </si>
  <si>
    <t>PLANILHA AUXILIAR</t>
  </si>
  <si>
    <t xml:space="preserve">MODELO SINAPI </t>
  </si>
  <si>
    <t>MODELO DNIT</t>
  </si>
  <si>
    <t>SESI</t>
  </si>
  <si>
    <t>B8</t>
  </si>
  <si>
    <t>B9</t>
  </si>
  <si>
    <t>B10</t>
  </si>
  <si>
    <t>C4</t>
  </si>
  <si>
    <t>C3</t>
  </si>
  <si>
    <t>C5</t>
  </si>
  <si>
    <t>D2</t>
  </si>
  <si>
    <t>TOTAL E</t>
  </si>
  <si>
    <t>D3</t>
  </si>
  <si>
    <t>E1</t>
  </si>
  <si>
    <t>Custo Mensal Adotado + Encagos Sociais (SINAPE)</t>
  </si>
  <si>
    <t>Custo Mensal Adotado + Encagos Sociais (DNIT)</t>
  </si>
  <si>
    <t>DNIT</t>
  </si>
  <si>
    <t>Contratação de serviços de comunicação (internet, telefone)</t>
  </si>
  <si>
    <t>Água e luz</t>
  </si>
  <si>
    <t>Material de Expediente (papel A4 e A3, cartuchos, canetas, clipes, grampeadores e grampos, pastas)</t>
  </si>
  <si>
    <t>Aluguel de carro</t>
  </si>
  <si>
    <t>Combustível</t>
  </si>
  <si>
    <t>Aluguel de espaço para escritório (Poderá ser cedido pela prefeitura local).</t>
  </si>
  <si>
    <t xml:space="preserve">Despesas Juridicas e com Cartório </t>
  </si>
  <si>
    <t xml:space="preserve">Manutenção de Equipamentos de Informatica </t>
  </si>
  <si>
    <t>Produção e impressão de folders</t>
  </si>
  <si>
    <t>Produção e impressão de banner</t>
  </si>
  <si>
    <t>Produção de Faixas</t>
  </si>
  <si>
    <t>Fx. de 3 metros</t>
  </si>
  <si>
    <t>Impressão de Cartilha educativa sobre o Plano Municipal de Saneamento</t>
  </si>
  <si>
    <t>Divulgação em rádio local</t>
  </si>
  <si>
    <t>spot</t>
  </si>
  <si>
    <t>Divulgação em jornal local</t>
  </si>
  <si>
    <t xml:space="preserve">Locação de Projetor de "slides" </t>
  </si>
  <si>
    <t>Locação de Equipamento de Som</t>
  </si>
  <si>
    <t>Kit de trabalho (papel A4, canetas, hidrocor, pincel atômico, papel pardo)</t>
  </si>
  <si>
    <t>Material de Escritório (papel A4, canetas, hidrocor, pincel atômico, papel pardo)</t>
  </si>
  <si>
    <t>Portaria de nomeação do Comitê Executivo, Mapeamento dos atores locais, Proposta de Composição do Comitê de Coordenação, Proposta com a definição dos Setores de Mobilização (SM) e Relatório de Acompanhamento das Atividades.</t>
  </si>
  <si>
    <t>Engenheiro Coordenador (Ambiental, Civil ou Sanitarista)</t>
  </si>
  <si>
    <t>Engenheiro (Ambiental, Civil ou Sanitarista)</t>
  </si>
  <si>
    <t>Profissional com formação em Ciências Sociais e Humanas, com destaque para Sociólogo, Pedagogo e Assistente Social</t>
  </si>
  <si>
    <t>Estagiário em Engenharia Ambiental, Civil ou Sanitária</t>
  </si>
  <si>
    <t>Estagiário em Sociologia ou Pedagogia ou Ciências Humanas</t>
  </si>
  <si>
    <t>Técnico em Informática</t>
  </si>
  <si>
    <t>Total/10 Meses</t>
  </si>
  <si>
    <t>Nome do Produto</t>
  </si>
  <si>
    <t>TR 2018</t>
  </si>
  <si>
    <t xml:space="preserve">Principais Alterações </t>
  </si>
  <si>
    <t>A. Cópia do ato público do Poder Executivo (Decreto ou Portaria, por exemplo), com definição dos membros dos comitês;</t>
  </si>
  <si>
    <t>B. Plano de mobilização social;</t>
  </si>
  <si>
    <t>D. Relatório da prospectiva e planejamento estratégico;</t>
  </si>
  <si>
    <t>C. Relatório do diagnóstico técnico-participativo;</t>
  </si>
  <si>
    <t>E. Relatório dos programas, projetos e ações;</t>
  </si>
  <si>
    <t>F. Plano de execução;</t>
  </si>
  <si>
    <t>G. Minuta de projeto de Lei do Plano Municipal de Saneamento Básico;</t>
  </si>
  <si>
    <t>H. Relatório sobre os indicadores de desempenho do Plano Municipal de Saneamento Básico;</t>
  </si>
  <si>
    <t>I. Sistema de informações para auxílio à tomada de decisão;</t>
  </si>
  <si>
    <t>J. Relatório mensal simplificado do andamento das atividades desenvolvidas;</t>
  </si>
  <si>
    <t>K. Relatório final do Plano Municipal de Saneamento Básico;</t>
  </si>
  <si>
    <t>Diluido</t>
  </si>
  <si>
    <t>Espaço Tempo</t>
  </si>
  <si>
    <t>Verificar transformação em produto B</t>
  </si>
  <si>
    <t>8 meses (2 ao 9) (% Total - 40%) e (% - Utilização no mês 5%)</t>
  </si>
  <si>
    <t>Diluido entre os produtos atuais fornecendo 5,7142% para cada produto</t>
  </si>
  <si>
    <t>9 meses (2 ao 10) (% Total - 90%) e (% - Utilização no mês 10%)</t>
  </si>
  <si>
    <t>Verificar transformação em produto F</t>
  </si>
  <si>
    <t>Manter Coef.</t>
  </si>
  <si>
    <t>Transformação em produto G, finalização com minuta de lei para aprovação do PMSB</t>
  </si>
  <si>
    <t>OBS</t>
  </si>
  <si>
    <t>Padrão</t>
  </si>
  <si>
    <t xml:space="preserve">Modelo </t>
  </si>
  <si>
    <t>Decreto de Nomeação do Comitê de Coordenação e respectivo regimento interno, Relatório da Estratégia de Mobilização, Participação Social e Comunicação, prevendo todos os eventos participativos, tendo sido aprovado por deliberação do Comitê de Coordenação, Relatório de Acompanhamento das Atividades, informando qual sistema de informação será adotado na elaboração do PMSB</t>
  </si>
  <si>
    <t>Relatório do Prognóstico do PMSB: cenário de referência para a gestão dos serviços; objetivos e metas; prospectivas técnicas para abastecimento de água, esgotamento sanitário, manejo de águas pluviais e manejo de resíduos sólidos, Relatório de Acompanhamento de Atividades.</t>
  </si>
  <si>
    <t xml:space="preserve">Relatório com a proposição dos Programas, Projetos e Ações do PMSB e respectivo Quadro 3 com as Propostas do PMSB, Quadro 4 com o resultado da aplicação da Metodologia para Hierarquização das Propostas do PMSB, Programação de Execução do PMSB com a Apresentação do Quadro 5 e Relatório de Acompanhamento das Atividades. </t>
  </si>
  <si>
    <t>Proposta de Indicadores de Desempenho do PMSB e Relatório de Acompanhamento das Atividades.</t>
  </si>
  <si>
    <t>7 m.eses (4 ao 10) (% total 190%) e (% - utilização no mês 27%)</t>
  </si>
  <si>
    <t>Quantidade de Meses previsto para Execução</t>
  </si>
  <si>
    <t>Informações Gerais para Coef.Multiplicadores</t>
  </si>
  <si>
    <t>Meses de Trabalho</t>
  </si>
  <si>
    <t>Nº de Eventos Setoriais</t>
  </si>
  <si>
    <t>VB</t>
  </si>
  <si>
    <t>mês</t>
  </si>
  <si>
    <t>lt/mês</t>
  </si>
  <si>
    <t>hora</t>
  </si>
  <si>
    <t>Validação de Dados de Orçamento</t>
  </si>
  <si>
    <t>Custo Mensal Adotado + Encagos Sociais (SINAPI)</t>
  </si>
  <si>
    <t>SINAPI</t>
  </si>
  <si>
    <t>TR 2012</t>
  </si>
  <si>
    <t xml:space="preserve">Fonte:                                 Cargo: Engenheiro Senior </t>
  </si>
  <si>
    <t>Fonte:                                  Cargo: Engenheiro Pleno</t>
  </si>
  <si>
    <t>Fonte:                                  Cargo: Sociologo</t>
  </si>
  <si>
    <t>Fonte:                                  Cargo: Estagiario em Engenharia Ambiental</t>
  </si>
  <si>
    <t>Fonte:                                  Cargo: Estagiario em Relações Publicas</t>
  </si>
  <si>
    <t>Fonte:                                  Cargo: Tecnico em Informatica</t>
  </si>
  <si>
    <t>Fonte:                                  Cargo: Secretária</t>
  </si>
  <si>
    <t xml:space="preserve">Fonte:                      Cargo: </t>
  </si>
  <si>
    <t xml:space="preserve">Fonte:                    Cargo: </t>
  </si>
  <si>
    <t>Spot</t>
  </si>
  <si>
    <t>Média</t>
  </si>
  <si>
    <t>Quantidade de Audiências Municipais</t>
  </si>
  <si>
    <r>
      <t xml:space="preserve">Preencher o </t>
    </r>
    <r>
      <rPr>
        <b/>
        <sz val="12"/>
        <color indexed="8"/>
        <rFont val="Arial"/>
        <family val="2"/>
      </rPr>
      <t>Modelo</t>
    </r>
    <r>
      <rPr>
        <sz val="12"/>
        <color indexed="8"/>
        <rFont val="Arial"/>
        <family val="2"/>
      </rPr>
      <t xml:space="preserve"> com SINAPI ou DNIT</t>
    </r>
  </si>
  <si>
    <r>
      <t xml:space="preserve">Comunicador Social </t>
    </r>
    <r>
      <rPr>
        <sz val="12"/>
        <color indexed="8"/>
        <rFont val="Arial"/>
        <family val="2"/>
      </rPr>
      <t>(requisitos de contratação devem ser descriminados conforme objeto de serviço)</t>
    </r>
  </si>
  <si>
    <r>
      <t>Hidrogeologo</t>
    </r>
    <r>
      <rPr>
        <sz val="12"/>
        <color indexed="8"/>
        <rFont val="Arial"/>
        <family val="2"/>
      </rPr>
      <t xml:space="preserve"> (requisitos de contratação devem ser descriminados conforme objeto de serviço)</t>
    </r>
  </si>
  <si>
    <r>
      <t xml:space="preserve">Desenhista/Ilustador </t>
    </r>
    <r>
      <rPr>
        <sz val="12"/>
        <color indexed="8"/>
        <rFont val="Arial"/>
        <family val="2"/>
      </rPr>
      <t>(requisitos de contratação devem ser descriminados conforme objeto de serviço)</t>
    </r>
  </si>
  <si>
    <r>
      <rPr>
        <b/>
        <sz val="12"/>
        <color indexed="8"/>
        <rFont val="Arial"/>
        <family val="2"/>
      </rPr>
      <t>Topografo</t>
    </r>
    <r>
      <rPr>
        <sz val="12"/>
        <color indexed="8"/>
        <rFont val="Arial"/>
        <family val="2"/>
      </rPr>
      <t xml:space="preserve"> (requisitos de contratação devem ser descriminados conforme objeto de serviço)</t>
    </r>
  </si>
  <si>
    <r>
      <t xml:space="preserve">Advogado </t>
    </r>
    <r>
      <rPr>
        <sz val="12"/>
        <color indexed="8"/>
        <rFont val="Arial"/>
        <family val="2"/>
      </rPr>
      <t>(requisitos de contratação devem ser descriminados conforme objeto de serviço)</t>
    </r>
  </si>
  <si>
    <r>
      <t xml:space="preserve">Analista de Sistemas </t>
    </r>
    <r>
      <rPr>
        <sz val="12"/>
        <color indexed="8"/>
        <rFont val="Arial"/>
        <family val="2"/>
      </rPr>
      <t>(requisitos de contratação devem ser descriminados conforme objeto de serviço)</t>
    </r>
  </si>
  <si>
    <r>
      <t xml:space="preserve">Engenheiro Ambiental </t>
    </r>
    <r>
      <rPr>
        <sz val="12"/>
        <color indexed="8"/>
        <rFont val="Arial"/>
        <family val="2"/>
      </rPr>
      <t>(requisitos de contratação devem ser descriminados conforme objeto de serviço)</t>
    </r>
  </si>
  <si>
    <r>
      <t xml:space="preserve">Urbanista </t>
    </r>
    <r>
      <rPr>
        <sz val="12"/>
        <color indexed="8"/>
        <rFont val="Arial"/>
        <family val="2"/>
      </rPr>
      <t>(requisitos de contratação devem ser descriminados conforme objeto de serviço)</t>
    </r>
  </si>
  <si>
    <r>
      <t xml:space="preserve">Administrador Especialista em Planejamento Estratégico </t>
    </r>
    <r>
      <rPr>
        <sz val="12"/>
        <color indexed="8"/>
        <rFont val="Arial"/>
        <family val="2"/>
      </rPr>
      <t>(requisitos de contratação devem ser descriminados conforme objeto de serviço)</t>
    </r>
  </si>
  <si>
    <t>Quantidade de Conferencias Audiências Previstas</t>
  </si>
  <si>
    <t>Custo total médio para realização de UMA campanha de mobilização social e uma Audiência municipal</t>
  </si>
  <si>
    <t>Audiência Municipal</t>
  </si>
  <si>
    <t>Documento Referência</t>
  </si>
  <si>
    <t>Produtos</t>
  </si>
  <si>
    <t>Descrições Pontuais</t>
  </si>
  <si>
    <t>Cópia do ato público do Poder Executivo (Decreto ou Portaria, por exemplo), com definição dos membros dos comitês</t>
  </si>
  <si>
    <t>Portaria de nomeação do Comitê Executivo.</t>
  </si>
  <si>
    <t>Mapeamento dos atores locais.</t>
  </si>
  <si>
    <t>Proposta de Composição do Comitê de Coordenação.</t>
  </si>
  <si>
    <t>Proposta com a Definição dos Setores de Mobilização(SM).</t>
  </si>
  <si>
    <t>Relatório de Acompanhamento das Atividades(*).</t>
  </si>
  <si>
    <t>Plano de mobilização social</t>
  </si>
  <si>
    <t>Decreto de nomeação do Comitê de Coordenação e respectivo regimento interno.</t>
  </si>
  <si>
    <t>Relatório da Estratégia de Mobilização, Participação Social e Comunicação, prevendo todos os eventos participativos, tendo sido aprovada por deliberação do Comitê de Coordenação.</t>
  </si>
  <si>
    <t>Relatório de Acompanhamento das Atividades(*), informando qual sistema de informação será adotado na elaboração do PMSB.</t>
  </si>
  <si>
    <t>Relatório do diagnóstico técnico-participativo</t>
  </si>
  <si>
    <t>Relatório do Diagnóstico Técnico-Participativo e apresentação do Quadro com o Resumo Analítico do Diagnóstico do PMSB.</t>
  </si>
  <si>
    <t>Relatório da prospectiva e planejamento estratégico</t>
  </si>
  <si>
    <t>Relatório do Prognóstico do PMSB: Cenário de referência para a gestão dos serviços; objetivos e metas; prospectivas técnicas para abastecimento de água, esgotamento sanitário, manejo de águas pluviais e manejo de resíduos sólidos.</t>
  </si>
  <si>
    <t>Relatório de Acompanhamento das Atividades (*).</t>
  </si>
  <si>
    <t>Relatório dos programas, projetos e ações</t>
  </si>
  <si>
    <t>Relatório com a proposição dos Programas, Projetos e Ações do PMSB e respectivo Quadro 3 com as Propostas do PMSB.</t>
  </si>
  <si>
    <t>Quadro 4 com o resultado da aplicação da Metodologia para Hierarquização das Propostas do PMSB.</t>
  </si>
  <si>
    <t>Programação da Execução do PMSB com apresentação do Quadro 5.</t>
  </si>
  <si>
    <t>Plano de execução</t>
  </si>
  <si>
    <t>Proposta de Indicadores de Desempenho do PMSB.</t>
  </si>
  <si>
    <t>Minuta de projeto de Lei do Plano Municipal de Saneamento Básico</t>
  </si>
  <si>
    <t>Documento Consolidado do PMSB, com a incorporação das contribuições pactuadas na audiência pública (ou conferência municipal) e por deliberação do Comitê de Coordenação. Devem ser disponibilizadas 2 (duas) cópias para o município, sendo uma digital para publicação na página eletrônica da Prefeitura e outra impressa, e para a Funasa apenas a cópia digital.</t>
  </si>
  <si>
    <t>Minuta do Projeto de Lei para aprovação do PMSB, tendo o documento consolidado do PMSB como Anexo, Resumo Executivo do PMSB, de acordo com o escopo mínimo estabelecido neste TR e Relatório de Acompanhamento das Atividades (*), com registro completo da audiência pública realizada para aprovação do PMSB.</t>
  </si>
  <si>
    <t xml:space="preserve">Relatório sobre os indicadores de desempenho do Plano Municipal de Saneamento Básico; </t>
  </si>
  <si>
    <t>N/A</t>
  </si>
  <si>
    <t>Chamamento da População (Obrigatório)</t>
  </si>
  <si>
    <r>
      <rPr>
        <b/>
        <sz val="12"/>
        <rFont val="Arial"/>
        <family val="2"/>
      </rPr>
      <t>Relatório do diagnóstico técnico-participativo</t>
    </r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e apresentação do Quadro com o Resumo Analítico do Diagnóstico do PMSB, Relatório de Acompanhamento das Atividades.</t>
    </r>
  </si>
  <si>
    <t>Documento Consolidado do PMSB, com a incorporação das contribuições pactuadas na audiência pública (ou conferencia municipal) e por deliberação do Comitê de Coordenação. Devem ser Disponibilizadas 2 (duas) cópias para o município, sendo uma digital para a publicação na página eletrônica da Prefeitura e outra impressa, e para a Funasa apenas a cópia digital, Minuta do Projeto de Lei para aprovação do PMSB, tendo o documento consolidado do PMSB em anexo, Resumo executivo do PMSB, de acordo com o escopo mínimo estabelecido pelo TR, Relatório de Acompanhamento das Atividades com registro completo da audiência pública realizada para aprovação do PMSB.</t>
  </si>
  <si>
    <r>
      <t xml:space="preserve">Composição do comitê executivo e do comitê de coordenação. </t>
    </r>
    <r>
      <rPr>
        <sz val="12"/>
        <color rgb="FFFF0000"/>
        <rFont val="Arial"/>
        <family val="2"/>
      </rPr>
      <t>(0%)</t>
    </r>
  </si>
  <si>
    <r>
      <t xml:space="preserve">Cópia do ato público do Poder Executivo (Decreto ou Portaria, por exemplo), com definição dos membros dos comitês. </t>
    </r>
    <r>
      <rPr>
        <sz val="12"/>
        <color rgb="FFFF0000"/>
        <rFont val="Arial"/>
        <family val="2"/>
      </rPr>
      <t>(0%)</t>
    </r>
  </si>
  <si>
    <r>
      <rPr>
        <sz val="12"/>
        <color rgb="FF0070C0"/>
        <rFont val="Arial"/>
        <family val="2"/>
      </rPr>
      <t>Elaboração do documento de planejamento da mobilização social prevendo as atividades de participação social que serão executadas durante as próximas fases do PMSB.</t>
    </r>
    <r>
      <rPr>
        <sz val="12"/>
        <color theme="1"/>
        <rFont val="Arial"/>
        <family val="2"/>
      </rPr>
      <t xml:space="preserve"> </t>
    </r>
    <r>
      <rPr>
        <sz val="12"/>
        <color rgb="FFFF0000"/>
        <rFont val="Arial"/>
        <family val="2"/>
      </rPr>
      <t>(35%)</t>
    </r>
  </si>
  <si>
    <r>
      <t xml:space="preserve">Início das atividades de produção do sistema de informações para auxílio à tomada de decisão. </t>
    </r>
    <r>
      <rPr>
        <sz val="12"/>
        <color rgb="FFFF0000"/>
        <rFont val="Arial"/>
        <family val="2"/>
      </rPr>
      <t>(35%)</t>
    </r>
  </si>
  <si>
    <r>
      <t xml:space="preserve">Elaboração do diagnóstico completo do setor de saneamento no enfoque técnico. </t>
    </r>
    <r>
      <rPr>
        <sz val="12"/>
        <color rgb="FFFF0000"/>
        <rFont val="Arial"/>
        <family val="2"/>
      </rPr>
      <t>(59%)</t>
    </r>
  </si>
  <si>
    <r>
      <t xml:space="preserve">Diagnóstico participativo com levantamento das percepções sociais sobre o setor de saneamento. </t>
    </r>
    <r>
      <rPr>
        <sz val="12"/>
        <color rgb="FFFF0000"/>
        <rFont val="Arial"/>
        <family val="2"/>
      </rPr>
      <t>(59%)</t>
    </r>
  </si>
  <si>
    <r>
      <t xml:space="preserve">Compilação e armazenamento de informações levantadas, utilizando o sistema de informações para auxílio à tomada de decisão. </t>
    </r>
    <r>
      <rPr>
        <sz val="12"/>
        <color rgb="FFFF0000"/>
        <rFont val="Arial"/>
        <family val="2"/>
      </rPr>
      <t>(59%)</t>
    </r>
  </si>
  <si>
    <r>
      <t xml:space="preserve">Relatório do diagnóstico técnico-participativo Relatórios mensais simplificados do andamento das atividades desenvolvidas. </t>
    </r>
    <r>
      <rPr>
        <sz val="12"/>
        <color rgb="FFFF0000"/>
        <rFont val="Arial"/>
        <family val="2"/>
      </rPr>
      <t>(59%)</t>
    </r>
  </si>
  <si>
    <r>
      <t xml:space="preserve">Elaboração da prospectiva estratégica compatível com as aspirações sociais e com as características econômico-sociais do município. </t>
    </r>
    <r>
      <rPr>
        <sz val="12"/>
        <color rgb="FFFF0000"/>
        <rFont val="Arial"/>
        <family val="2"/>
      </rPr>
      <t>(25%)</t>
    </r>
  </si>
  <si>
    <r>
      <t xml:space="preserve">Compilação e armazenamento de informações produzidas, utilizando o sistema de informações para auxílio à tomada de decisão. </t>
    </r>
    <r>
      <rPr>
        <sz val="12"/>
        <color rgb="FFFF0000"/>
        <rFont val="Arial"/>
        <family val="2"/>
      </rPr>
      <t>(25%)</t>
    </r>
  </si>
  <si>
    <r>
      <t xml:space="preserve">Relatório da prospectiva e planejamento estratégico. </t>
    </r>
    <r>
      <rPr>
        <sz val="12"/>
        <color rgb="FFFF0000"/>
        <rFont val="Arial"/>
        <family val="2"/>
      </rPr>
      <t>(25%)</t>
    </r>
  </si>
  <si>
    <r>
      <t xml:space="preserve">Relatórios mensais simplificados do andamento das atividades desenvolvidas. </t>
    </r>
    <r>
      <rPr>
        <sz val="12"/>
        <color rgb="FFFF0000"/>
        <rFont val="Arial"/>
        <family val="2"/>
      </rPr>
      <t>(25%)</t>
    </r>
  </si>
  <si>
    <r>
      <t xml:space="preserve">Detalhamento das medidas a serem tomadas por meio da estruturação de programas, projetos e ações específicas para cada eixo do setor de saneamento hierarquizadas de acordo com os anseios da população. </t>
    </r>
    <r>
      <rPr>
        <sz val="12"/>
        <color rgb="FFFF0000"/>
        <rFont val="Arial"/>
        <family val="2"/>
      </rPr>
      <t>(100/3%)</t>
    </r>
  </si>
  <si>
    <r>
      <t xml:space="preserve">Compilação e armazenamento de informações produzidas utilizando o sistema de informações para auxílio à tomada de decisão. </t>
    </r>
    <r>
      <rPr>
        <sz val="12"/>
        <color rgb="FFFF0000"/>
        <rFont val="Arial"/>
        <family val="2"/>
      </rPr>
      <t>(100/3%)</t>
    </r>
  </si>
  <si>
    <r>
      <t xml:space="preserve">Relatório dos programas, projetos e ações relatórios mensais simplificados do andamento das atividades desenvolvidas. </t>
    </r>
    <r>
      <rPr>
        <sz val="12"/>
        <color rgb="FFFF0000"/>
        <rFont val="Arial"/>
        <family val="2"/>
      </rPr>
      <t>(100/3%)</t>
    </r>
  </si>
  <si>
    <r>
      <t xml:space="preserve">Elaboração da programação de implantação dos programas, projetos e ações em horizontes temporais de curto, médio e longo prazo estimando e identificando as fontes dos recursos financeiros necessários para a execução do PMSB. </t>
    </r>
    <r>
      <rPr>
        <sz val="12"/>
        <color rgb="FFFF0000"/>
        <rFont val="Arial"/>
        <family val="2"/>
      </rPr>
      <t>(40%)</t>
    </r>
  </si>
  <si>
    <r>
      <t xml:space="preserve">Compilação e armazenamento de informações produzidas, utilizando o sistema de informações para auxílio à tomada de decisão. </t>
    </r>
    <r>
      <rPr>
        <sz val="12"/>
        <color rgb="FFFF0000"/>
        <rFont val="Arial"/>
        <family val="2"/>
      </rPr>
      <t>(40%)</t>
    </r>
  </si>
  <si>
    <r>
      <t xml:space="preserve"> Minuta de projeto de Lei do Plano Municipal de Saneamento Básico. </t>
    </r>
    <r>
      <rPr>
        <sz val="12"/>
        <color rgb="FFFF0000"/>
        <rFont val="Arial"/>
        <family val="2"/>
      </rPr>
      <t>(10%)</t>
    </r>
  </si>
  <si>
    <r>
      <t xml:space="preserve">Relatório sobre os indicadores de desempenho do Plano Municipal de Saneamento Básico </t>
    </r>
    <r>
      <rPr>
        <sz val="12"/>
        <color rgb="FFFF0000"/>
        <rFont val="Arial"/>
        <family val="2"/>
      </rPr>
      <t>(95%)</t>
    </r>
  </si>
  <si>
    <r>
      <t xml:space="preserve">Sistema de informações para auxílio à tomada de decisão </t>
    </r>
    <r>
      <rPr>
        <sz val="12"/>
        <color rgb="FFFF0000"/>
        <rFont val="Arial"/>
        <family val="2"/>
      </rPr>
      <t>(70%)</t>
    </r>
  </si>
  <si>
    <r>
      <t xml:space="preserve">Relatório mensal simplificado do andamento das atividades desenvolvidas </t>
    </r>
    <r>
      <rPr>
        <sz val="12"/>
        <color rgb="FFFF0000"/>
        <rFont val="Arial"/>
        <family val="2"/>
      </rPr>
      <t>(30%)</t>
    </r>
  </si>
  <si>
    <r>
      <t xml:space="preserve">Relatório final do Plano Municipal de Saneamento Básico, Minuta de projeto de Lei do Plano Municipal de Saneamento Básico </t>
    </r>
    <r>
      <rPr>
        <sz val="12"/>
        <color rgb="FFFF0000"/>
        <rFont val="Arial"/>
        <family val="2"/>
      </rPr>
      <t>(10%)</t>
    </r>
  </si>
  <si>
    <t xml:space="preserve">1 - Preencher Dados Gerais do Município .
</t>
  </si>
  <si>
    <t xml:space="preserve">2 - Definir Quantidade de Eventos Setoriais com Base no Número de Setores de Mobilização do Município.
</t>
  </si>
  <si>
    <t xml:space="preserve">3 - Observar quanto à Existência de Eventos a Serem Realizados em Localidades Remotas (de difícil acesso).
</t>
  </si>
  <si>
    <t xml:space="preserve">1 - ACESSAR O SITE: http://www1.caixa.gov.br/gov/gov_social/municipal/programa_des_urbano/SINAPI/encargos_sociais.asp.
</t>
  </si>
  <si>
    <t xml:space="preserve">1 - ACESSAR O SITE: 
https://www.dnit.gov.br/download/servicos/tabela-de-precos-de-consultoria/detalhamento-dos-encargos-sociais-de-mensalistas.pdf.
</t>
  </si>
  <si>
    <t>2 - CLICAR NO LINK 'PLANILHA DE ENCARGOS SOCIAIS' E ESCOLHER O ESTADO.</t>
  </si>
  <si>
    <t xml:space="preserve">3 - VERIFICAR E PREENCHER OS ITENS DE CADA GRUPO PARA MENSALISTA E HORISTA.
</t>
  </si>
  <si>
    <t>4 - A DEPENDER DA UF, AS VARIÁVEIS DISPOSTAS NESTA PLANILHA PODEM VARIAR (QUANTITATIVAMENTE E QUALITATIVAMENTE).</t>
  </si>
  <si>
    <t>5 - ENCARGOS SOCIAIS DE ESTAGIÁRIO - PODE UTILIZAR-SE DOS VALORES SUGERIDOS NESTA PLANILHA.</t>
  </si>
  <si>
    <t>ENCARGOS TRABALHISTAS - GRUPO A</t>
  </si>
  <si>
    <t>HORISTA</t>
  </si>
  <si>
    <t>MENSALISTA</t>
  </si>
  <si>
    <t>ESTAGIÁRIO</t>
  </si>
  <si>
    <t>SALÁRIO EDUCAÇÃO</t>
  </si>
  <si>
    <t>SEGURO DE ACIDENTE DE TRABALHO</t>
  </si>
  <si>
    <t>ENCARGOS TRABALHISTAS - GRUPO B</t>
  </si>
  <si>
    <t>REPOUSO SEMANAL REMUNERADO</t>
  </si>
  <si>
    <t>FÉRIAS</t>
  </si>
  <si>
    <t>FERIADOS</t>
  </si>
  <si>
    <t>AVISO PRÉVIO TRABALHADO (90%)</t>
  </si>
  <si>
    <t>AUXÍLIO ENFERMIDADE</t>
  </si>
  <si>
    <t>AUXILIO ENFERMIDADE</t>
  </si>
  <si>
    <t>13º SALÁRIO</t>
  </si>
  <si>
    <t>GRATIFICAÇÃO NATALINA (13º SALÁRIO)</t>
  </si>
  <si>
    <t>LICENÇA PATERNIDAE</t>
  </si>
  <si>
    <t>AVISO PRÉVIO INDENIZADO</t>
  </si>
  <si>
    <t>FALTAS JUSTIFICADAS</t>
  </si>
  <si>
    <t>LICENÇA PATERNIDADE</t>
  </si>
  <si>
    <t>DIAS DE CHUVA</t>
  </si>
  <si>
    <t>AUSÊNCIAS ABONADAS</t>
  </si>
  <si>
    <t>AUXÍLIO ACIDENTE DE TRABALHO</t>
  </si>
  <si>
    <t>ACIDENTES NO TRABALHO</t>
  </si>
  <si>
    <t>FÉRIAS GOZADAS</t>
  </si>
  <si>
    <t>SALÁRIO MATERNIDADE</t>
  </si>
  <si>
    <t>ENCARGOS TRABALHISTAS - GRUPO C</t>
  </si>
  <si>
    <t>DEPÓSITO RESCISÃO SEM JUSTA CAUSA</t>
  </si>
  <si>
    <t>AVISO PRÉVIO TRABALHADO</t>
  </si>
  <si>
    <t>ADICIONAL POR AVISO PRÉVIO</t>
  </si>
  <si>
    <t>FÉRIAS INDENIZADAS</t>
  </si>
  <si>
    <t>AVISO PRÉVIO INDENIZADO (10%)</t>
  </si>
  <si>
    <t>INDENIZAÇÃO ADICIONAL</t>
  </si>
  <si>
    <t>ENCARGOS TRABALHISTAS - GRUPO D</t>
  </si>
  <si>
    <t>REINCIDÊNCIA DO GRUPO A SOBRE O GRUPO B</t>
  </si>
  <si>
    <t>REINCIDÊNCIA DO GRUPO A SOBRE AVISO PRÉVIO TRABALHADO E REINCIDÊNCIA DO FGTS SOBRE AVISO PRÉVIO INDENIZADO</t>
  </si>
  <si>
    <t>REINCIDÊNCIA DO FGTS SOBRE O 13º SALÁRIO</t>
  </si>
  <si>
    <t>REINCIDÊNCIA DO FGTS SOBRE O AVISO PRÉVIO</t>
  </si>
  <si>
    <t>ENCARGOS TRABALHISTAS - GRUPO E</t>
  </si>
  <si>
    <t xml:space="preserve">VALE TRANSPORTE </t>
  </si>
  <si>
    <t>E2</t>
  </si>
  <si>
    <t>AUXÍLIO ALIMENTAÇÃO</t>
  </si>
  <si>
    <t>E3</t>
  </si>
  <si>
    <t>CAFÉ DA MANHÃ</t>
  </si>
  <si>
    <t>E4</t>
  </si>
  <si>
    <t>EPI - EQUIPAMENTO DE PROTEÇÃO INDIVIDUAL</t>
  </si>
  <si>
    <t>E5</t>
  </si>
  <si>
    <t>CONSULTAS E EXAMES MÉDICOS</t>
  </si>
  <si>
    <t>E6</t>
  </si>
  <si>
    <t>SEGURO DE VIDA</t>
  </si>
  <si>
    <t>Total dos Encargos Sociais (A+B+C+D+E)</t>
  </si>
  <si>
    <t xml:space="preserve">1 - Referência Salarial para 1 Mês.
</t>
  </si>
  <si>
    <t xml:space="preserve">2 - Só Poderão Constar na Equipe Permanente Profissionais Mensalistas.
</t>
  </si>
  <si>
    <t xml:space="preserve">3 - Encargos Sociais de Estagiário - Diferente dos demais profissionais da Equipe Técnica Permanente.
</t>
  </si>
  <si>
    <t>4 - Definir Quantidade de Conferências Municipais</t>
  </si>
  <si>
    <t xml:space="preserve">1 - Cálculo dos Custos Mensais da Estrutura de Apoio.
</t>
  </si>
  <si>
    <t xml:space="preserve">1 - Itens de mobilização social - Itens necessários para realizar uma mobilização social, visando o incentivo à presença da sociedade no Evento Setorial do PMSB.
</t>
  </si>
  <si>
    <t xml:space="preserve">2 - Itens do Evento Setorial - Itens necessários para realizar o Evento Setorial.
</t>
  </si>
  <si>
    <t xml:space="preserve">3 - Itens Diferenciados Para um Evento Específico, Exceto Aqueles Relativos Ao Evento Setorial em Localidades Remotas, Devem ser Incluídos no Orçamento do Respectivo Produto.
</t>
  </si>
  <si>
    <t xml:space="preserve">1 - Equipe Técnica Eventual - Horistas ou Mensalistas.
</t>
  </si>
  <si>
    <t xml:space="preserve">2 - Atentar para a Utilização dos Encargos Sociais Adequados - Os Profissionais Horistas possuirão Encargos Sociais Diferentes dos Mensalistas.
</t>
  </si>
  <si>
    <t xml:space="preserve">3 - Após Preencimento desta Planilha, os Profissionais da Equipe Técnica Deverão ser Distribuídos nas Planilhas dos Produtos.
</t>
  </si>
  <si>
    <t>2 - Outros itens diferenciados devem ser incluídos no orçamento do respectivo produto.</t>
  </si>
  <si>
    <t>1 - Preencher a Planilha com os Custos ADICIONAIS para Evento em Localidade Remota com Acesso Terrestre.</t>
  </si>
  <si>
    <t>1 - Preencher a Planilha com os Custos ADICIONAIS para Evento em Localidade Remota com Acesso Hidroviário.</t>
  </si>
  <si>
    <t xml:space="preserve">1 - Itens de Mobilização Social - Itens necessários para realizar uma mobilização social, visando o incentivo à presença da sociedade na Conferência Municipal.
</t>
  </si>
  <si>
    <t xml:space="preserve">2 - Itens da Audiência Municipal - Itens necessários para realizar a Conferência Municipal.
</t>
  </si>
  <si>
    <t>Exemplo</t>
  </si>
  <si>
    <t>Recebeu alterações do produto B &gt; A</t>
  </si>
  <si>
    <t>Alterado percentual de execução para o produto A ; Recebeu pesos do produto I</t>
  </si>
  <si>
    <t>Recebeu alterações do produto F &gt; E</t>
  </si>
  <si>
    <t>Base alterada do produto F para o produto E ; Recebeu pesos do produto H</t>
  </si>
  <si>
    <t>Recebeu peso do produto G.</t>
  </si>
  <si>
    <t>Diluido em produto F</t>
  </si>
  <si>
    <t>Diluido para o produto B</t>
  </si>
  <si>
    <t xml:space="preserve">Diluido entre todos os produtos remanescentes </t>
  </si>
  <si>
    <t>Diluido em Produto G</t>
  </si>
  <si>
    <t>Composição do comitê executivo e do comitê de coordenação.</t>
  </si>
  <si>
    <t xml:space="preserve">Cópia do ato público do Poder Executivo (Decreto ou Portaria, por exemplo), com definição dos membros dos comitês. </t>
  </si>
  <si>
    <r>
      <rPr>
        <sz val="16"/>
        <color rgb="FF0070C0"/>
        <rFont val="Arial"/>
        <family val="2"/>
      </rPr>
      <t>Elaboração do documento de planejamento da mobilização social prevendo as atividades de participação social que serão executadas durante as próximas fases do PMSB.</t>
    </r>
    <r>
      <rPr>
        <sz val="16"/>
        <color theme="1"/>
        <rFont val="Arial"/>
        <family val="2"/>
      </rPr>
      <t/>
    </r>
  </si>
  <si>
    <t>Início das atividades de produção do sistema de informações para auxílio à tomada de decisão.</t>
  </si>
  <si>
    <t xml:space="preserve">Elaboração do diagnóstico completo do setor de saneamento no enfoque técnico. </t>
  </si>
  <si>
    <t xml:space="preserve">Diagnóstico participativo com levantamento das percepções sociais sobre o setor de saneamento. </t>
  </si>
  <si>
    <t xml:space="preserve">Compilação e armazenamento de informações levantadas, utilizando o sistema de informações para auxílio à tomada de decisão. </t>
  </si>
  <si>
    <t xml:space="preserve">Relatório do diagnóstico técnico-participativo Relatórios mensais simplificados do andamento das atividades desenvolvidas. </t>
  </si>
  <si>
    <t>Elaboração da prospectiva estratégica compatível com as aspirações sociais e com as características econômico-sociais do município.</t>
  </si>
  <si>
    <t xml:space="preserve">Compilação e armazenamento de informações produzidas, utilizando o sistema de informações para auxílio à tomada de decisão. </t>
  </si>
  <si>
    <t xml:space="preserve">Relatório da prospectiva e planejamento estratégico. </t>
  </si>
  <si>
    <t xml:space="preserve">Relatórios mensais simplificados do andamento das atividades desenvolvidas. </t>
  </si>
  <si>
    <t xml:space="preserve">Detalhamento das medidas a serem tomadas por meio da estruturação de programas, projetos e ações específicas para cada eixo do setor de saneamento hierarquizadas de acordo com os anseios da população. </t>
  </si>
  <si>
    <t xml:space="preserve">Compilação e armazenamento de informações produzidas utilizando o sistema de informações para auxílio à tomada de decisão. </t>
  </si>
  <si>
    <t xml:space="preserve">Relatório dos programas, projetos e ações relatórios mensais simplificados do andamento das atividades desenvolvidas. </t>
  </si>
  <si>
    <t>Elaboração da programação de implantação dos programas, projetos e ações em horizontes temporais de curto, médio e longo prazo estimando e identificando as fontes dos recursos financeiros necessários para a execução do PMSB.</t>
  </si>
  <si>
    <t>Compilação e armazenamento de informações produzidas, utilizando o sistema de informações para auxílio à tomada de decisão.</t>
  </si>
  <si>
    <t xml:space="preserve"> Minuta de projeto de Lei do Plano Municipal de Saneamento Básico. </t>
  </si>
  <si>
    <t xml:space="preserve">Relatório sobre os indicadores de desempenho do Plano Municipal de Saneamento Básico </t>
  </si>
  <si>
    <t xml:space="preserve">Sistema de informações para auxílio à tomada de decisão </t>
  </si>
  <si>
    <t xml:space="preserve">Relatório final do Plano Municipal de Saneamento Básico, Minuta de projeto de Lei do Plano Municipal de Saneamento Básico </t>
  </si>
  <si>
    <t>Nº de Audiências Municipais</t>
  </si>
  <si>
    <t>Audiências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</si>
</sst>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([$R$ -416]* #,##0.00_);_([$R$ -416]* \(#,##0.00\);_([$R$ -416]* &quot;-&quot;??_);_(@_)"/>
    <numFmt numFmtId="168" formatCode="_-[$R$-416]\ * #,##0.00_-;\-[$R$-416]\ * #,##0.00_-;_-[$R$-416]\ * &quot;-&quot;??_-;_-@_-"/>
    <numFmt numFmtId="169" formatCode="_(* #,##0.0_);_(* \(#,##0.0\);_(* &quot;-&quot;??_);_(@_)"/>
    <numFmt numFmtId="170" formatCode="_(* #,##0_);_(* \(#,##0\);_(* &quot;-&quot;??_);_(@_)"/>
    <numFmt numFmtId="171" formatCode="0.0000%"/>
    <numFmt numFmtId="172" formatCode="0.00000%"/>
    <numFmt numFmtId="173" formatCode="_(* #,##0.000000_);_(* \(#,##0.000000\);_(* &quot;-&quot;??_);_(@_)"/>
    <numFmt numFmtId="174" formatCode="_-[$R$-416]* #,##0.00_-;\-[$R$-416]* #,##0.00_-;_-[$R$-416]* &quot;-&quot;??_-;_-@_-"/>
    <numFmt numFmtId="175" formatCode="0.0000000"/>
  </numFmts>
  <fonts count="55" x14ac:knownFonts="1">
    <font>
      <sz val="11"/>
      <color theme="1"/>
      <name val="Calibri"/>
      <family val="2"/>
      <scheme val="minor"/>
    </font>
    <font>
      <sz val="9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10"/>
      <color indexed="10"/>
      <name val="Arial Narrow"/>
      <family val="2"/>
    </font>
    <font>
      <b/>
      <sz val="10"/>
      <color indexed="8"/>
      <name val="Arial Narrow"/>
      <family val="2"/>
    </font>
    <font>
      <b/>
      <sz val="10"/>
      <color indexed="10"/>
      <name val="Arial Narrow"/>
      <family val="2"/>
    </font>
    <font>
      <sz val="11"/>
      <color indexed="8"/>
      <name val="Arial Narrow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36"/>
      <color indexed="8"/>
      <name val="Arial Narrow"/>
      <family val="2"/>
    </font>
    <font>
      <sz val="48"/>
      <color indexed="8"/>
      <name val="Arial Narrow"/>
      <family val="2"/>
    </font>
    <font>
      <sz val="28"/>
      <color indexed="8"/>
      <name val="Arial Narrow"/>
      <family val="2"/>
    </font>
    <font>
      <sz val="10"/>
      <color rgb="FF000000"/>
      <name val="Calibri"/>
      <family val="2"/>
      <scheme val="minor"/>
    </font>
    <font>
      <sz val="10"/>
      <color theme="0"/>
      <name val="Arial Narrow"/>
      <family val="2"/>
    </font>
    <font>
      <sz val="11"/>
      <color theme="0"/>
      <name val="Arial Narrow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2"/>
      <color rgb="FF000000"/>
      <name val="Arial"/>
      <family val="2"/>
    </font>
    <font>
      <i/>
      <sz val="12"/>
      <color indexed="8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u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6"/>
      <color theme="0"/>
      <name val="Arial"/>
      <family val="2"/>
    </font>
    <font>
      <sz val="16"/>
      <color indexed="8"/>
      <name val="Arial"/>
      <family val="2"/>
    </font>
    <font>
      <b/>
      <sz val="11"/>
      <color theme="0" tint="-0.34998626667073579"/>
      <name val="Arial Narrow"/>
      <family val="2"/>
    </font>
    <font>
      <sz val="10"/>
      <color theme="0" tint="-0.34998626667073579"/>
      <name val="Arial Narrow"/>
      <family val="2"/>
    </font>
    <font>
      <b/>
      <sz val="11"/>
      <name val="Arial Narrow"/>
      <family val="2"/>
    </font>
    <font>
      <b/>
      <sz val="12"/>
      <color theme="0"/>
      <name val="Arial Narrow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5" fillId="0" borderId="0"/>
  </cellStyleXfs>
  <cellXfs count="62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7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justify" vertical="center" wrapText="1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168" fontId="6" fillId="0" borderId="0" xfId="0" applyNumberFormat="1" applyFont="1" applyFill="1" applyBorder="1"/>
    <xf numFmtId="0" fontId="6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9" fontId="12" fillId="0" borderId="0" xfId="0" applyNumberFormat="1" applyFont="1" applyBorder="1"/>
    <xf numFmtId="165" fontId="12" fillId="0" borderId="0" xfId="3" applyFont="1" applyBorder="1" applyAlignment="1">
      <alignment vertical="center"/>
    </xf>
    <xf numFmtId="44" fontId="12" fillId="0" borderId="0" xfId="0" applyNumberFormat="1" applyFont="1" applyBorder="1"/>
    <xf numFmtId="168" fontId="4" fillId="3" borderId="0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/>
    </xf>
    <xf numFmtId="168" fontId="6" fillId="0" borderId="0" xfId="0" applyNumberFormat="1" applyFont="1"/>
    <xf numFmtId="44" fontId="4" fillId="0" borderId="0" xfId="0" applyNumberFormat="1" applyFont="1" applyFill="1" applyBorder="1"/>
    <xf numFmtId="9" fontId="6" fillId="0" borderId="0" xfId="2" applyFont="1" applyFill="1" applyBorder="1" applyAlignment="1">
      <alignment horizontal="center" vertical="center"/>
    </xf>
    <xf numFmtId="9" fontId="6" fillId="0" borderId="0" xfId="2" applyFont="1" applyAlignment="1">
      <alignment horizontal="center" vertical="center"/>
    </xf>
    <xf numFmtId="9" fontId="7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4" fillId="0" borderId="0" xfId="0" applyFont="1"/>
    <xf numFmtId="44" fontId="4" fillId="0" borderId="0" xfId="0" applyNumberFormat="1" applyFont="1" applyBorder="1"/>
    <xf numFmtId="44" fontId="12" fillId="0" borderId="0" xfId="0" applyNumberFormat="1" applyFont="1" applyFill="1" applyBorder="1"/>
    <xf numFmtId="0" fontId="12" fillId="0" borderId="0" xfId="0" applyFont="1" applyFill="1" applyBorder="1"/>
    <xf numFmtId="0" fontId="2" fillId="0" borderId="0" xfId="0" applyFont="1" applyFill="1" applyBorder="1"/>
    <xf numFmtId="9" fontId="0" fillId="0" borderId="0" xfId="2" applyFont="1"/>
    <xf numFmtId="44" fontId="7" fillId="0" borderId="0" xfId="0" applyNumberFormat="1" applyFont="1" applyBorder="1" applyAlignment="1">
      <alignment vertical="center"/>
    </xf>
    <xf numFmtId="44" fontId="0" fillId="0" borderId="0" xfId="0" applyNumberFormat="1"/>
    <xf numFmtId="168" fontId="0" fillId="0" borderId="0" xfId="0" applyNumberFormat="1"/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9" fontId="12" fillId="0" borderId="0" xfId="2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8" fontId="6" fillId="0" borderId="0" xfId="1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0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9" fontId="12" fillId="0" borderId="0" xfId="2" applyFont="1" applyBorder="1"/>
    <xf numFmtId="172" fontId="12" fillId="0" borderId="0" xfId="2" applyNumberFormat="1" applyFont="1" applyBorder="1" applyAlignment="1">
      <alignment vertical="center"/>
    </xf>
    <xf numFmtId="0" fontId="21" fillId="0" borderId="0" xfId="0" applyFont="1" applyBorder="1"/>
    <xf numFmtId="171" fontId="21" fillId="0" borderId="0" xfId="2" applyNumberFormat="1" applyFont="1" applyBorder="1"/>
    <xf numFmtId="0" fontId="21" fillId="0" borderId="0" xfId="0" applyFont="1" applyBorder="1" applyAlignment="1">
      <alignment horizontal="center" vertical="center"/>
    </xf>
    <xf numFmtId="172" fontId="21" fillId="0" borderId="0" xfId="2" applyNumberFormat="1" applyFont="1" applyBorder="1" applyAlignment="1">
      <alignment horizontal="center" vertical="center"/>
    </xf>
    <xf numFmtId="43" fontId="0" fillId="0" borderId="0" xfId="0" applyNumberFormat="1"/>
    <xf numFmtId="0" fontId="21" fillId="0" borderId="0" xfId="0" applyFont="1" applyBorder="1" applyAlignment="1">
      <alignment vertical="center"/>
    </xf>
    <xf numFmtId="9" fontId="21" fillId="0" borderId="0" xfId="2" applyFont="1" applyBorder="1" applyAlignment="1">
      <alignment vertical="center"/>
    </xf>
    <xf numFmtId="172" fontId="21" fillId="0" borderId="0" xfId="2" applyNumberFormat="1" applyFont="1" applyBorder="1" applyAlignment="1">
      <alignment vertical="center"/>
    </xf>
    <xf numFmtId="173" fontId="21" fillId="0" borderId="0" xfId="3" applyNumberFormat="1" applyFont="1" applyBorder="1" applyAlignment="1">
      <alignment vertical="center"/>
    </xf>
    <xf numFmtId="0" fontId="21" fillId="0" borderId="0" xfId="0" applyFont="1" applyBorder="1" applyAlignment="1">
      <alignment horizontal="center"/>
    </xf>
    <xf numFmtId="164" fontId="6" fillId="0" borderId="0" xfId="0" applyNumberFormat="1" applyFont="1" applyBorder="1"/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7" fillId="0" borderId="0" xfId="0" applyFont="1"/>
    <xf numFmtId="0" fontId="27" fillId="0" borderId="0" xfId="0" applyFont="1" applyBorder="1"/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justify" vertical="center" wrapText="1"/>
    </xf>
    <xf numFmtId="0" fontId="29" fillId="0" borderId="0" xfId="0" applyFont="1" applyBorder="1" applyAlignment="1">
      <alignment horizontal="center" vertical="center" wrapText="1"/>
    </xf>
    <xf numFmtId="167" fontId="29" fillId="0" borderId="0" xfId="0" applyNumberFormat="1" applyFont="1" applyBorder="1" applyAlignment="1">
      <alignment horizontal="left" vertical="center" wrapText="1"/>
    </xf>
    <xf numFmtId="167" fontId="29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justify" vertical="center" wrapText="1"/>
    </xf>
    <xf numFmtId="0" fontId="24" fillId="0" borderId="0" xfId="0" applyNumberFormat="1" applyFont="1" applyBorder="1" applyAlignment="1">
      <alignment horizontal="center" vertical="center" wrapText="1"/>
    </xf>
    <xf numFmtId="167" fontId="24" fillId="0" borderId="0" xfId="0" applyNumberFormat="1" applyFont="1" applyBorder="1" applyAlignment="1">
      <alignment horizontal="left" vertical="center" wrapText="1"/>
    </xf>
    <xf numFmtId="167" fontId="24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justify" vertical="center" wrapText="1"/>
    </xf>
    <xf numFmtId="165" fontId="31" fillId="0" borderId="0" xfId="3" applyFont="1" applyBorder="1" applyAlignment="1">
      <alignment horizontal="center" vertical="center"/>
    </xf>
    <xf numFmtId="167" fontId="31" fillId="0" borderId="0" xfId="0" applyNumberFormat="1" applyFont="1" applyBorder="1" applyAlignment="1">
      <alignment vertical="center"/>
    </xf>
    <xf numFmtId="167" fontId="31" fillId="0" borderId="0" xfId="0" applyNumberFormat="1" applyFont="1" applyBorder="1" applyAlignment="1">
      <alignment horizontal="center" vertical="center" wrapText="1"/>
    </xf>
    <xf numFmtId="174" fontId="31" fillId="0" borderId="0" xfId="1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9" fontId="24" fillId="0" borderId="0" xfId="0" applyNumberFormat="1" applyFont="1" applyBorder="1"/>
    <xf numFmtId="0" fontId="24" fillId="0" borderId="1" xfId="0" applyFont="1" applyBorder="1" applyAlignment="1">
      <alignment horizontal="left" vertical="center"/>
    </xf>
    <xf numFmtId="44" fontId="24" fillId="0" borderId="1" xfId="0" applyNumberFormat="1" applyFont="1" applyBorder="1"/>
    <xf numFmtId="167" fontId="24" fillId="0" borderId="1" xfId="0" applyNumberFormat="1" applyFont="1" applyBorder="1" applyAlignment="1">
      <alignment horizontal="center" vertical="center" wrapText="1"/>
    </xf>
    <xf numFmtId="3" fontId="29" fillId="0" borderId="1" xfId="3" applyNumberFormat="1" applyFont="1" applyBorder="1" applyAlignment="1">
      <alignment horizontal="center"/>
    </xf>
    <xf numFmtId="44" fontId="23" fillId="0" borderId="0" xfId="0" applyNumberFormat="1" applyFont="1" applyBorder="1"/>
    <xf numFmtId="174" fontId="23" fillId="0" borderId="1" xfId="1" applyNumberFormat="1" applyFont="1" applyFill="1" applyBorder="1" applyAlignment="1">
      <alignment vertical="center"/>
    </xf>
    <xf numFmtId="174" fontId="30" fillId="0" borderId="1" xfId="1" applyNumberFormat="1" applyFont="1" applyFill="1" applyBorder="1" applyAlignment="1">
      <alignment vertical="center"/>
    </xf>
    <xf numFmtId="174" fontId="24" fillId="0" borderId="1" xfId="1" applyNumberFormat="1" applyFont="1" applyBorder="1" applyAlignment="1">
      <alignment vertical="center"/>
    </xf>
    <xf numFmtId="174" fontId="29" fillId="0" borderId="1" xfId="1" applyNumberFormat="1" applyFont="1" applyBorder="1" applyAlignment="1">
      <alignment vertical="center"/>
    </xf>
    <xf numFmtId="0" fontId="24" fillId="0" borderId="0" xfId="0" applyFont="1" applyBorder="1" applyAlignment="1">
      <alignment horizontal="justify" vertical="center" wrapText="1"/>
    </xf>
    <xf numFmtId="0" fontId="24" fillId="0" borderId="0" xfId="0" applyFont="1" applyBorder="1" applyAlignment="1">
      <alignment vertical="center"/>
    </xf>
    <xf numFmtId="167" fontId="2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16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center" vertical="center" wrapText="1"/>
    </xf>
    <xf numFmtId="170" fontId="24" fillId="0" borderId="0" xfId="3" applyNumberFormat="1" applyFont="1" applyBorder="1" applyAlignment="1">
      <alignment horizontal="center" vertical="center" wrapText="1"/>
    </xf>
    <xf numFmtId="167" fontId="29" fillId="0" borderId="0" xfId="0" applyNumberFormat="1" applyFont="1" applyFill="1" applyBorder="1" applyAlignment="1">
      <alignment vertical="center"/>
    </xf>
    <xf numFmtId="44" fontId="23" fillId="0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/>
    </xf>
    <xf numFmtId="9" fontId="24" fillId="0" borderId="0" xfId="0" applyNumberFormat="1" applyFont="1" applyFill="1" applyBorder="1" applyAlignment="1">
      <alignment horizontal="center"/>
    </xf>
    <xf numFmtId="168" fontId="24" fillId="0" borderId="0" xfId="1" applyNumberFormat="1" applyFont="1" applyFill="1" applyBorder="1"/>
    <xf numFmtId="168" fontId="24" fillId="0" borderId="0" xfId="0" applyNumberFormat="1" applyFont="1" applyFill="1" applyBorder="1"/>
    <xf numFmtId="9" fontId="24" fillId="0" borderId="0" xfId="2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4" fontId="24" fillId="0" borderId="0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168" fontId="24" fillId="0" borderId="0" xfId="1" applyNumberFormat="1" applyFont="1" applyFill="1" applyBorder="1" applyAlignment="1">
      <alignment horizontal="center" vertical="center"/>
    </xf>
    <xf numFmtId="0" fontId="24" fillId="0" borderId="0" xfId="0" applyFont="1"/>
    <xf numFmtId="9" fontId="24" fillId="0" borderId="0" xfId="2" applyFont="1" applyFill="1" applyBorder="1" applyAlignment="1">
      <alignment horizontal="center" vertical="center"/>
    </xf>
    <xf numFmtId="0" fontId="26" fillId="0" borderId="0" xfId="0" applyFont="1"/>
    <xf numFmtId="0" fontId="27" fillId="0" borderId="1" xfId="0" applyFont="1" applyBorder="1"/>
    <xf numFmtId="165" fontId="27" fillId="0" borderId="1" xfId="3" applyFont="1" applyBorder="1" applyAlignment="1">
      <alignment horizontal="center"/>
    </xf>
    <xf numFmtId="165" fontId="27" fillId="0" borderId="1" xfId="3" applyFont="1" applyBorder="1" applyAlignment="1">
      <alignment horizontal="left" vertical="top"/>
    </xf>
    <xf numFmtId="165" fontId="27" fillId="6" borderId="1" xfId="3" applyFont="1" applyFill="1" applyBorder="1" applyAlignment="1">
      <alignment horizontal="right"/>
    </xf>
    <xf numFmtId="165" fontId="27" fillId="6" borderId="1" xfId="3" applyFont="1" applyFill="1" applyBorder="1" applyAlignment="1">
      <alignment horizontal="left" vertical="top"/>
    </xf>
    <xf numFmtId="9" fontId="24" fillId="7" borderId="1" xfId="2" applyFont="1" applyFill="1" applyBorder="1" applyAlignment="1">
      <alignment horizontal="center" vertical="center"/>
    </xf>
    <xf numFmtId="44" fontId="24" fillId="0" borderId="1" xfId="0" applyNumberFormat="1" applyFont="1" applyFill="1" applyBorder="1"/>
    <xf numFmtId="44" fontId="24" fillId="0" borderId="1" xfId="0" applyNumberFormat="1" applyFont="1" applyFill="1" applyBorder="1" applyAlignment="1">
      <alignment horizontal="center" vertical="center"/>
    </xf>
    <xf numFmtId="44" fontId="24" fillId="0" borderId="0" xfId="0" applyNumberFormat="1" applyFont="1" applyBorder="1"/>
    <xf numFmtId="44" fontId="23" fillId="0" borderId="0" xfId="0" applyNumberFormat="1" applyFont="1" applyFill="1" applyBorder="1"/>
    <xf numFmtId="0" fontId="23" fillId="0" borderId="0" xfId="0" applyFont="1" applyFill="1" applyBorder="1" applyAlignment="1">
      <alignment vertical="center"/>
    </xf>
    <xf numFmtId="44" fontId="24" fillId="0" borderId="0" xfId="0" applyNumberFormat="1" applyFont="1" applyFill="1" applyBorder="1"/>
    <xf numFmtId="174" fontId="24" fillId="7" borderId="1" xfId="2" applyNumberFormat="1" applyFont="1" applyFill="1" applyBorder="1" applyAlignment="1">
      <alignment horizontal="center" vertical="center"/>
    </xf>
    <xf numFmtId="174" fontId="24" fillId="0" borderId="1" xfId="0" applyNumberFormat="1" applyFont="1" applyFill="1" applyBorder="1"/>
    <xf numFmtId="174" fontId="24" fillId="0" borderId="1" xfId="0" applyNumberFormat="1" applyFont="1" applyFill="1" applyBorder="1" applyAlignment="1">
      <alignment horizontal="center" vertical="center"/>
    </xf>
    <xf numFmtId="168" fontId="24" fillId="0" borderId="0" xfId="1" applyNumberFormat="1" applyFont="1" applyAlignment="1">
      <alignment horizontal="center" vertical="center"/>
    </xf>
    <xf numFmtId="168" fontId="27" fillId="0" borderId="0" xfId="1" applyNumberFormat="1" applyFont="1"/>
    <xf numFmtId="0" fontId="23" fillId="0" borderId="0" xfId="0" applyFont="1" applyFill="1" applyBorder="1" applyAlignment="1">
      <alignment horizontal="center" vertical="center" wrapText="1"/>
    </xf>
    <xf numFmtId="168" fontId="23" fillId="0" borderId="0" xfId="1" applyNumberFormat="1" applyFont="1" applyFill="1" applyBorder="1" applyAlignment="1">
      <alignment horizontal="center" vertical="center" wrapText="1"/>
    </xf>
    <xf numFmtId="9" fontId="23" fillId="0" borderId="0" xfId="2" applyFont="1" applyFill="1" applyBorder="1" applyAlignment="1">
      <alignment horizontal="center" vertical="center" wrapText="1"/>
    </xf>
    <xf numFmtId="174" fontId="25" fillId="2" borderId="1" xfId="1" applyNumberFormat="1" applyFont="1" applyFill="1" applyBorder="1" applyAlignment="1">
      <alignment horizontal="center" vertical="center"/>
    </xf>
    <xf numFmtId="174" fontId="36" fillId="2" borderId="1" xfId="1" applyNumberFormat="1" applyFont="1" applyFill="1" applyBorder="1" applyAlignment="1">
      <alignment vertical="center"/>
    </xf>
    <xf numFmtId="174" fontId="36" fillId="0" borderId="1" xfId="1" applyNumberFormat="1" applyFont="1" applyFill="1" applyBorder="1" applyAlignment="1">
      <alignment vertical="center"/>
    </xf>
    <xf numFmtId="174" fontId="31" fillId="0" borderId="1" xfId="1" applyNumberFormat="1" applyFont="1" applyBorder="1" applyAlignment="1">
      <alignment vertical="center"/>
    </xf>
    <xf numFmtId="174" fontId="37" fillId="0" borderId="1" xfId="1" applyNumberFormat="1" applyFont="1" applyBorder="1" applyAlignment="1">
      <alignment vertical="center"/>
    </xf>
    <xf numFmtId="0" fontId="39" fillId="0" borderId="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16" xfId="0" applyFont="1" applyBorder="1"/>
    <xf numFmtId="0" fontId="27" fillId="0" borderId="17" xfId="0" applyFont="1" applyBorder="1"/>
    <xf numFmtId="0" fontId="27" fillId="0" borderId="13" xfId="0" applyFont="1" applyBorder="1" applyAlignment="1">
      <alignment horizontal="center" vertical="center"/>
    </xf>
    <xf numFmtId="0" fontId="27" fillId="0" borderId="9" xfId="0" applyFont="1" applyBorder="1"/>
    <xf numFmtId="0" fontId="27" fillId="0" borderId="13" xfId="0" applyFont="1" applyFill="1" applyBorder="1" applyAlignment="1">
      <alignment horizontal="center" vertical="center"/>
    </xf>
    <xf numFmtId="0" fontId="27" fillId="0" borderId="1" xfId="0" applyFont="1" applyFill="1" applyBorder="1"/>
    <xf numFmtId="0" fontId="27" fillId="0" borderId="9" xfId="0" applyFont="1" applyFill="1" applyBorder="1"/>
    <xf numFmtId="0" fontId="40" fillId="0" borderId="1" xfId="0" applyFont="1" applyBorder="1"/>
    <xf numFmtId="0" fontId="41" fillId="0" borderId="1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/>
    <xf numFmtId="0" fontId="26" fillId="8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42" fillId="0" borderId="1" xfId="0" applyFont="1" applyBorder="1" applyAlignment="1">
      <alignment horizontal="left" vertical="top" wrapText="1"/>
    </xf>
    <xf numFmtId="0" fontId="27" fillId="9" borderId="1" xfId="0" applyFont="1" applyFill="1" applyBorder="1" applyAlignment="1">
      <alignment horizontal="left" vertical="top" wrapText="1"/>
    </xf>
    <xf numFmtId="0" fontId="27" fillId="9" borderId="1" xfId="0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vertical="center"/>
    </xf>
    <xf numFmtId="9" fontId="2" fillId="0" borderId="1" xfId="2" applyFont="1" applyBorder="1" applyAlignment="1">
      <alignment vertical="center"/>
    </xf>
    <xf numFmtId="10" fontId="2" fillId="0" borderId="1" xfId="2" applyNumberFormat="1" applyFont="1" applyBorder="1" applyAlignment="1">
      <alignment vertical="center"/>
    </xf>
    <xf numFmtId="0" fontId="24" fillId="10" borderId="0" xfId="0" applyFont="1" applyFill="1" applyBorder="1" applyAlignment="1">
      <alignment horizontal="left"/>
    </xf>
    <xf numFmtId="0" fontId="0" fillId="0" borderId="0" xfId="0" applyBorder="1"/>
    <xf numFmtId="0" fontId="28" fillId="0" borderId="0" xfId="0" applyFont="1" applyFill="1" applyBorder="1" applyAlignment="1">
      <alignment horizontal="center" vertical="center"/>
    </xf>
    <xf numFmtId="0" fontId="44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39" fillId="0" borderId="0" xfId="0" applyFont="1" applyBorder="1"/>
    <xf numFmtId="0" fontId="39" fillId="0" borderId="25" xfId="0" applyFont="1" applyBorder="1"/>
    <xf numFmtId="10" fontId="39" fillId="0" borderId="0" xfId="2" applyNumberFormat="1" applyFont="1" applyBorder="1"/>
    <xf numFmtId="10" fontId="39" fillId="0" borderId="26" xfId="2" applyNumberFormat="1" applyFont="1" applyBorder="1"/>
    <xf numFmtId="0" fontId="27" fillId="0" borderId="25" xfId="0" applyFont="1" applyBorder="1"/>
    <xf numFmtId="0" fontId="35" fillId="0" borderId="0" xfId="0" applyFont="1" applyBorder="1"/>
    <xf numFmtId="10" fontId="35" fillId="0" borderId="0" xfId="2" applyNumberFormat="1" applyFont="1" applyBorder="1"/>
    <xf numFmtId="10" fontId="35" fillId="0" borderId="26" xfId="2" applyNumberFormat="1" applyFont="1" applyBorder="1"/>
    <xf numFmtId="0" fontId="27" fillId="8" borderId="25" xfId="0" applyFont="1" applyFill="1" applyBorder="1"/>
    <xf numFmtId="0" fontId="27" fillId="8" borderId="0" xfId="0" applyFont="1" applyFill="1" applyBorder="1"/>
    <xf numFmtId="0" fontId="27" fillId="8" borderId="26" xfId="0" applyFont="1" applyFill="1" applyBorder="1"/>
    <xf numFmtId="0" fontId="39" fillId="0" borderId="25" xfId="0" applyFont="1" applyFill="1" applyBorder="1"/>
    <xf numFmtId="0" fontId="39" fillId="0" borderId="0" xfId="0" applyFont="1" applyFill="1" applyBorder="1"/>
    <xf numFmtId="10" fontId="39" fillId="0" borderId="26" xfId="2" applyNumberFormat="1" applyFont="1" applyFill="1" applyBorder="1"/>
    <xf numFmtId="10" fontId="35" fillId="0" borderId="0" xfId="0" applyNumberFormat="1" applyFont="1" applyBorder="1"/>
    <xf numFmtId="10" fontId="35" fillId="0" borderId="26" xfId="0" applyNumberFormat="1" applyFont="1" applyBorder="1"/>
    <xf numFmtId="0" fontId="39" fillId="0" borderId="25" xfId="0" applyFont="1" applyBorder="1" applyAlignment="1">
      <alignment vertical="center"/>
    </xf>
    <xf numFmtId="0" fontId="39" fillId="0" borderId="0" xfId="0" applyFont="1" applyBorder="1" applyAlignment="1">
      <alignment vertical="center" wrapText="1"/>
    </xf>
    <xf numFmtId="10" fontId="39" fillId="0" borderId="0" xfId="2" applyNumberFormat="1" applyFont="1" applyBorder="1" applyAlignment="1">
      <alignment vertical="center"/>
    </xf>
    <xf numFmtId="10" fontId="39" fillId="0" borderId="26" xfId="2" applyNumberFormat="1" applyFont="1" applyBorder="1" applyAlignment="1">
      <alignment vertical="center"/>
    </xf>
    <xf numFmtId="0" fontId="0" fillId="0" borderId="26" xfId="0" applyBorder="1"/>
    <xf numFmtId="0" fontId="39" fillId="8" borderId="25" xfId="0" applyFont="1" applyFill="1" applyBorder="1"/>
    <xf numFmtId="0" fontId="0" fillId="8" borderId="0" xfId="0" applyFill="1" applyBorder="1"/>
    <xf numFmtId="0" fontId="0" fillId="8" borderId="26" xfId="0" applyFill="1" applyBorder="1"/>
    <xf numFmtId="0" fontId="28" fillId="0" borderId="25" xfId="0" applyFont="1" applyFill="1" applyBorder="1" applyAlignment="1">
      <alignment horizontal="center" vertical="center" wrapText="1"/>
    </xf>
    <xf numFmtId="10" fontId="39" fillId="0" borderId="0" xfId="0" applyNumberFormat="1" applyFont="1" applyBorder="1"/>
    <xf numFmtId="10" fontId="39" fillId="0" borderId="26" xfId="0" applyNumberFormat="1" applyFont="1" applyBorder="1"/>
    <xf numFmtId="0" fontId="39" fillId="8" borderId="0" xfId="0" applyFont="1" applyFill="1" applyBorder="1"/>
    <xf numFmtId="10" fontId="39" fillId="8" borderId="0" xfId="0" applyNumberFormat="1" applyFont="1" applyFill="1" applyBorder="1"/>
    <xf numFmtId="10" fontId="39" fillId="8" borderId="26" xfId="0" applyNumberFormat="1" applyFont="1" applyFill="1" applyBorder="1"/>
    <xf numFmtId="0" fontId="23" fillId="10" borderId="0" xfId="0" applyFont="1" applyFill="1" applyBorder="1" applyAlignment="1">
      <alignment horizontal="center" vertical="center" wrapText="1"/>
    </xf>
    <xf numFmtId="167" fontId="29" fillId="10" borderId="0" xfId="0" applyNumberFormat="1" applyFont="1" applyFill="1" applyBorder="1" applyAlignment="1">
      <alignment vertical="center"/>
    </xf>
    <xf numFmtId="0" fontId="23" fillId="10" borderId="20" xfId="0" applyFont="1" applyFill="1" applyBorder="1" applyAlignment="1">
      <alignment horizontal="center"/>
    </xf>
    <xf numFmtId="0" fontId="24" fillId="10" borderId="24" xfId="0" applyFont="1" applyFill="1" applyBorder="1" applyAlignment="1">
      <alignment horizontal="left"/>
    </xf>
    <xf numFmtId="0" fontId="23" fillId="10" borderId="21" xfId="0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3" fillId="10" borderId="25" xfId="0" applyFont="1" applyFill="1" applyBorder="1" applyAlignment="1">
      <alignment horizontal="center"/>
    </xf>
    <xf numFmtId="0" fontId="24" fillId="10" borderId="26" xfId="0" applyFont="1" applyFill="1" applyBorder="1" applyAlignment="1">
      <alignment horizontal="center"/>
    </xf>
    <xf numFmtId="0" fontId="23" fillId="10" borderId="19" xfId="0" applyFont="1" applyFill="1" applyBorder="1" applyAlignment="1">
      <alignment horizontal="center"/>
    </xf>
    <xf numFmtId="0" fontId="24" fillId="10" borderId="30" xfId="0" applyFont="1" applyFill="1" applyBorder="1" applyAlignment="1">
      <alignment horizontal="left"/>
    </xf>
    <xf numFmtId="0" fontId="24" fillId="10" borderId="15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top" wrapText="1"/>
    </xf>
    <xf numFmtId="0" fontId="39" fillId="0" borderId="25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25" xfId="0" applyFont="1" applyBorder="1" applyAlignment="1">
      <alignment horizontal="center" vertical="top"/>
    </xf>
    <xf numFmtId="0" fontId="39" fillId="0" borderId="0" xfId="0" applyFont="1" applyBorder="1" applyAlignment="1">
      <alignment horizontal="center" vertical="top"/>
    </xf>
    <xf numFmtId="10" fontId="39" fillId="0" borderId="26" xfId="2" applyNumberFormat="1" applyFont="1" applyBorder="1" applyAlignment="1">
      <alignment horizontal="center" vertical="top"/>
    </xf>
    <xf numFmtId="10" fontId="39" fillId="0" borderId="0" xfId="0" applyNumberFormat="1" applyFont="1" applyBorder="1" applyAlignment="1">
      <alignment horizontal="center" vertical="top"/>
    </xf>
    <xf numFmtId="0" fontId="39" fillId="0" borderId="0" xfId="0" applyFont="1" applyBorder="1" applyAlignment="1">
      <alignment horizontal="left" vertical="top" wrapText="1"/>
    </xf>
    <xf numFmtId="10" fontId="39" fillId="0" borderId="0" xfId="2" applyNumberFormat="1" applyFont="1" applyBorder="1" applyAlignment="1">
      <alignment horizontal="right" vertical="center"/>
    </xf>
    <xf numFmtId="10" fontId="39" fillId="0" borderId="26" xfId="2" applyNumberFormat="1" applyFont="1" applyBorder="1" applyAlignment="1">
      <alignment horizontal="right" vertical="center"/>
    </xf>
    <xf numFmtId="10" fontId="39" fillId="0" borderId="0" xfId="2" applyNumberFormat="1" applyFont="1" applyBorder="1" applyAlignment="1">
      <alignment horizontal="right"/>
    </xf>
    <xf numFmtId="10" fontId="39" fillId="0" borderId="26" xfId="2" applyNumberFormat="1" applyFont="1" applyBorder="1" applyAlignment="1">
      <alignment horizontal="right"/>
    </xf>
    <xf numFmtId="10" fontId="39" fillId="0" borderId="0" xfId="2" applyNumberFormat="1" applyFont="1" applyBorder="1" applyAlignment="1">
      <alignment horizontal="right" vertical="top"/>
    </xf>
    <xf numFmtId="10" fontId="39" fillId="0" borderId="26" xfId="2" applyNumberFormat="1" applyFont="1" applyBorder="1" applyAlignment="1">
      <alignment horizontal="right" vertical="top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167" fontId="23" fillId="4" borderId="30" xfId="0" applyNumberFormat="1" applyFont="1" applyFill="1" applyBorder="1" applyAlignment="1">
      <alignment horizontal="center" vertical="center" wrapText="1"/>
    </xf>
    <xf numFmtId="167" fontId="23" fillId="4" borderId="15" xfId="0" applyNumberFormat="1" applyFont="1" applyFill="1" applyBorder="1" applyAlignment="1">
      <alignment horizontal="center" vertical="center" wrapText="1"/>
    </xf>
    <xf numFmtId="0" fontId="23" fillId="10" borderId="20" xfId="0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167" fontId="29" fillId="10" borderId="26" xfId="0" applyNumberFormat="1" applyFont="1" applyFill="1" applyBorder="1" applyAlignment="1">
      <alignment vertical="center"/>
    </xf>
    <xf numFmtId="0" fontId="29" fillId="0" borderId="25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vertical="center"/>
    </xf>
    <xf numFmtId="167" fontId="25" fillId="4" borderId="4" xfId="0" applyNumberFormat="1" applyFont="1" applyFill="1" applyBorder="1" applyAlignment="1">
      <alignment horizontal="center" vertical="center"/>
    </xf>
    <xf numFmtId="0" fontId="25" fillId="8" borderId="20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/>
    </xf>
    <xf numFmtId="167" fontId="31" fillId="0" borderId="26" xfId="0" applyNumberFormat="1" applyFont="1" applyBorder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31" fillId="0" borderId="30" xfId="0" applyFont="1" applyBorder="1" applyAlignment="1">
      <alignment horizontal="justify" vertical="center" wrapText="1"/>
    </xf>
    <xf numFmtId="0" fontId="31" fillId="0" borderId="30" xfId="0" applyFont="1" applyBorder="1" applyAlignment="1">
      <alignment horizontal="center" vertical="center"/>
    </xf>
    <xf numFmtId="165" fontId="31" fillId="0" borderId="30" xfId="3" applyFont="1" applyBorder="1" applyAlignment="1">
      <alignment horizontal="center" vertical="center"/>
    </xf>
    <xf numFmtId="167" fontId="31" fillId="0" borderId="30" xfId="0" applyNumberFormat="1" applyFont="1" applyBorder="1" applyAlignment="1">
      <alignment vertical="center"/>
    </xf>
    <xf numFmtId="167" fontId="31" fillId="0" borderId="15" xfId="0" applyNumberFormat="1" applyFont="1" applyBorder="1" applyAlignment="1">
      <alignment vertical="center"/>
    </xf>
    <xf numFmtId="0" fontId="23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44" fontId="23" fillId="4" borderId="19" xfId="0" applyNumberFormat="1" applyFont="1" applyFill="1" applyBorder="1"/>
    <xf numFmtId="44" fontId="23" fillId="8" borderId="1" xfId="0" applyNumberFormat="1" applyFont="1" applyFill="1" applyBorder="1"/>
    <xf numFmtId="174" fontId="30" fillId="8" borderId="1" xfId="1" applyNumberFormat="1" applyFont="1" applyFill="1" applyBorder="1" applyAlignment="1">
      <alignment horizontal="center" vertical="center"/>
    </xf>
    <xf numFmtId="9" fontId="24" fillId="8" borderId="1" xfId="2" applyFont="1" applyFill="1" applyBorder="1" applyAlignment="1">
      <alignment horizontal="center"/>
    </xf>
    <xf numFmtId="10" fontId="35" fillId="4" borderId="30" xfId="0" applyNumberFormat="1" applyFont="1" applyFill="1" applyBorder="1" applyAlignment="1">
      <alignment horizontal="center" vertical="center"/>
    </xf>
    <xf numFmtId="10" fontId="35" fillId="4" borderId="15" xfId="0" applyNumberFormat="1" applyFont="1" applyFill="1" applyBorder="1" applyAlignment="1">
      <alignment horizontal="center" vertical="center"/>
    </xf>
    <xf numFmtId="44" fontId="23" fillId="4" borderId="1" xfId="0" applyNumberFormat="1" applyFont="1" applyFill="1" applyBorder="1" applyAlignment="1">
      <alignment horizontal="center"/>
    </xf>
    <xf numFmtId="44" fontId="23" fillId="4" borderId="1" xfId="0" applyNumberFormat="1" applyFont="1" applyFill="1" applyBorder="1"/>
    <xf numFmtId="0" fontId="30" fillId="4" borderId="1" xfId="0" applyFont="1" applyFill="1" applyBorder="1" applyAlignment="1">
      <alignment horizontal="center"/>
    </xf>
    <xf numFmtId="9" fontId="29" fillId="4" borderId="1" xfId="0" applyNumberFormat="1" applyFont="1" applyFill="1" applyBorder="1"/>
    <xf numFmtId="9" fontId="29" fillId="4" borderId="1" xfId="0" applyNumberFormat="1" applyFont="1" applyFill="1" applyBorder="1" applyAlignment="1">
      <alignment horizontal="center" vertical="center"/>
    </xf>
    <xf numFmtId="9" fontId="24" fillId="4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/>
    </xf>
    <xf numFmtId="44" fontId="23" fillId="4" borderId="6" xfId="0" applyNumberFormat="1" applyFont="1" applyFill="1" applyBorder="1"/>
    <xf numFmtId="44" fontId="23" fillId="4" borderId="2" xfId="0" applyNumberFormat="1" applyFont="1" applyFill="1" applyBorder="1"/>
    <xf numFmtId="9" fontId="23" fillId="4" borderId="7" xfId="2" applyFont="1" applyFill="1" applyBorder="1" applyAlignment="1">
      <alignment horizontal="center"/>
    </xf>
    <xf numFmtId="174" fontId="30" fillId="8" borderId="1" xfId="1" applyNumberFormat="1" applyFont="1" applyFill="1" applyBorder="1" applyAlignment="1">
      <alignment vertical="center"/>
    </xf>
    <xf numFmtId="10" fontId="49" fillId="8" borderId="1" xfId="2" applyNumberFormat="1" applyFont="1" applyFill="1" applyBorder="1" applyAlignment="1">
      <alignment vertical="center"/>
    </xf>
    <xf numFmtId="0" fontId="23" fillId="10" borderId="24" xfId="0" applyFont="1" applyFill="1" applyBorder="1" applyAlignment="1">
      <alignment vertical="center" wrapText="1"/>
    </xf>
    <xf numFmtId="0" fontId="23" fillId="10" borderId="21" xfId="0" applyFont="1" applyFill="1" applyBorder="1" applyAlignment="1">
      <alignment vertical="center" wrapText="1"/>
    </xf>
    <xf numFmtId="167" fontId="24" fillId="0" borderId="26" xfId="0" applyNumberFormat="1" applyFont="1" applyBorder="1" applyAlignment="1">
      <alignment vertical="center"/>
    </xf>
    <xf numFmtId="167" fontId="24" fillId="0" borderId="26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/>
    </xf>
    <xf numFmtId="167" fontId="24" fillId="0" borderId="30" xfId="0" applyNumberFormat="1" applyFont="1" applyBorder="1" applyAlignment="1">
      <alignment vertical="center"/>
    </xf>
    <xf numFmtId="0" fontId="24" fillId="4" borderId="19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vertical="center"/>
    </xf>
    <xf numFmtId="0" fontId="24" fillId="4" borderId="30" xfId="0" applyFont="1" applyFill="1" applyBorder="1" applyAlignment="1">
      <alignment vertical="center"/>
    </xf>
    <xf numFmtId="167" fontId="24" fillId="4" borderId="15" xfId="0" applyNumberFormat="1" applyFont="1" applyFill="1" applyBorder="1" applyAlignment="1">
      <alignment vertical="center"/>
    </xf>
    <xf numFmtId="0" fontId="23" fillId="4" borderId="30" xfId="0" applyFont="1" applyFill="1" applyBorder="1" applyAlignment="1">
      <alignment horizontal="left" vertical="center"/>
    </xf>
    <xf numFmtId="0" fontId="24" fillId="4" borderId="30" xfId="0" applyFont="1" applyFill="1" applyBorder="1" applyAlignment="1">
      <alignment horizontal="center" vertical="center"/>
    </xf>
    <xf numFmtId="167" fontId="24" fillId="4" borderId="15" xfId="0" applyNumberFormat="1" applyFont="1" applyFill="1" applyBorder="1" applyAlignment="1">
      <alignment horizontal="center" vertical="center"/>
    </xf>
    <xf numFmtId="44" fontId="23" fillId="4" borderId="4" xfId="0" applyNumberFormat="1" applyFont="1" applyFill="1" applyBorder="1" applyAlignment="1">
      <alignment horizontal="center" vertical="center"/>
    </xf>
    <xf numFmtId="167" fontId="29" fillId="10" borderId="0" xfId="0" applyNumberFormat="1" applyFont="1" applyFill="1" applyBorder="1" applyAlignment="1">
      <alignment horizontal="center" vertical="center" wrapText="1"/>
    </xf>
    <xf numFmtId="0" fontId="23" fillId="10" borderId="20" xfId="0" applyFont="1" applyFill="1" applyBorder="1" applyAlignment="1">
      <alignment horizontal="center" vertical="center"/>
    </xf>
    <xf numFmtId="0" fontId="23" fillId="10" borderId="21" xfId="0" applyFont="1" applyFill="1" applyBorder="1" applyAlignment="1">
      <alignment horizontal="center" vertical="center"/>
    </xf>
    <xf numFmtId="174" fontId="23" fillId="10" borderId="26" xfId="1" applyNumberFormat="1" applyFont="1" applyFill="1" applyBorder="1" applyAlignment="1">
      <alignment vertical="center"/>
    </xf>
    <xf numFmtId="44" fontId="23" fillId="10" borderId="26" xfId="0" applyNumberFormat="1" applyFont="1" applyFill="1" applyBorder="1" applyAlignment="1">
      <alignment vertical="center"/>
    </xf>
    <xf numFmtId="0" fontId="23" fillId="0" borderId="30" xfId="0" applyFont="1" applyBorder="1" applyAlignment="1">
      <alignment horizontal="justify" vertical="center" wrapText="1"/>
    </xf>
    <xf numFmtId="0" fontId="27" fillId="0" borderId="30" xfId="0" applyFont="1" applyBorder="1" applyAlignment="1">
      <alignment horizontal="center" vertical="center"/>
    </xf>
    <xf numFmtId="167" fontId="24" fillId="0" borderId="30" xfId="0" applyNumberFormat="1" applyFont="1" applyBorder="1" applyAlignment="1">
      <alignment horizontal="center" vertical="center" wrapText="1"/>
    </xf>
    <xf numFmtId="0" fontId="24" fillId="0" borderId="30" xfId="0" applyNumberFormat="1" applyFont="1" applyBorder="1" applyAlignment="1">
      <alignment horizontal="center" vertical="center" wrapText="1"/>
    </xf>
    <xf numFmtId="167" fontId="24" fillId="0" borderId="30" xfId="0" applyNumberFormat="1" applyFont="1" applyBorder="1" applyAlignment="1">
      <alignment horizontal="left" vertical="center" wrapText="1"/>
    </xf>
    <xf numFmtId="167" fontId="29" fillId="10" borderId="30" xfId="0" applyNumberFormat="1" applyFont="1" applyFill="1" applyBorder="1" applyAlignment="1">
      <alignment horizontal="center" vertical="center" wrapText="1"/>
    </xf>
    <xf numFmtId="44" fontId="23" fillId="10" borderId="15" xfId="0" applyNumberFormat="1" applyFont="1" applyFill="1" applyBorder="1" applyAlignment="1">
      <alignment vertical="center"/>
    </xf>
    <xf numFmtId="0" fontId="23" fillId="0" borderId="19" xfId="0" applyFont="1" applyBorder="1" applyAlignment="1">
      <alignment horizontal="center"/>
    </xf>
    <xf numFmtId="167" fontId="23" fillId="0" borderId="15" xfId="0" applyNumberFormat="1" applyFont="1" applyBorder="1"/>
    <xf numFmtId="165" fontId="4" fillId="10" borderId="21" xfId="3" applyFont="1" applyFill="1" applyBorder="1" applyAlignment="1">
      <alignment horizontal="left" vertical="center" wrapText="1"/>
    </xf>
    <xf numFmtId="0" fontId="23" fillId="10" borderId="25" xfId="0" applyFont="1" applyFill="1" applyBorder="1" applyAlignment="1">
      <alignment horizontal="center" vertical="center" wrapText="1"/>
    </xf>
    <xf numFmtId="0" fontId="23" fillId="10" borderId="26" xfId="0" applyFont="1" applyFill="1" applyBorder="1" applyAlignment="1">
      <alignment horizontal="center" vertical="center" wrapText="1"/>
    </xf>
    <xf numFmtId="167" fontId="23" fillId="0" borderId="15" xfId="0" applyNumberFormat="1" applyFont="1" applyBorder="1" applyAlignment="1">
      <alignment vertical="center"/>
    </xf>
    <xf numFmtId="168" fontId="23" fillId="4" borderId="0" xfId="0" applyNumberFormat="1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24" fillId="0" borderId="26" xfId="0" applyFont="1" applyBorder="1"/>
    <xf numFmtId="0" fontId="24" fillId="0" borderId="26" xfId="0" applyFont="1" applyBorder="1" applyAlignment="1">
      <alignment horizontal="left"/>
    </xf>
    <xf numFmtId="0" fontId="24" fillId="0" borderId="26" xfId="0" applyFont="1" applyBorder="1" applyAlignment="1">
      <alignment vertical="center"/>
    </xf>
    <xf numFmtId="0" fontId="33" fillId="0" borderId="25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center"/>
    </xf>
    <xf numFmtId="9" fontId="24" fillId="0" borderId="30" xfId="2" applyFont="1" applyBorder="1" applyAlignment="1">
      <alignment horizontal="center" vertical="center" wrapText="1"/>
    </xf>
    <xf numFmtId="44" fontId="24" fillId="0" borderId="30" xfId="0" applyNumberFormat="1" applyFont="1" applyBorder="1" applyAlignment="1">
      <alignment horizontal="center" vertical="center"/>
    </xf>
    <xf numFmtId="0" fontId="24" fillId="0" borderId="15" xfId="0" applyFont="1" applyBorder="1"/>
    <xf numFmtId="0" fontId="23" fillId="4" borderId="3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168" fontId="23" fillId="4" borderId="5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9" fontId="24" fillId="0" borderId="0" xfId="2" applyFont="1" applyBorder="1" applyAlignment="1">
      <alignment horizontal="center" vertical="center"/>
    </xf>
    <xf numFmtId="0" fontId="24" fillId="0" borderId="25" xfId="0" applyFont="1" applyBorder="1"/>
    <xf numFmtId="0" fontId="24" fillId="0" borderId="19" xfId="0" applyFont="1" applyBorder="1"/>
    <xf numFmtId="0" fontId="24" fillId="0" borderId="30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168" fontId="30" fillId="4" borderId="5" xfId="0" applyNumberFormat="1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/>
    </xf>
    <xf numFmtId="0" fontId="27" fillId="10" borderId="1" xfId="0" applyFont="1" applyFill="1" applyBorder="1" applyAlignment="1">
      <alignment horizontal="center" vertical="center"/>
    </xf>
    <xf numFmtId="0" fontId="27" fillId="10" borderId="1" xfId="0" applyFont="1" applyFill="1" applyBorder="1"/>
    <xf numFmtId="165" fontId="27" fillId="10" borderId="1" xfId="3" applyFont="1" applyFill="1" applyBorder="1" applyAlignment="1">
      <alignment horizontal="center"/>
    </xf>
    <xf numFmtId="165" fontId="27" fillId="10" borderId="1" xfId="3" applyFont="1" applyFill="1" applyBorder="1" applyAlignment="1">
      <alignment horizontal="left" vertical="top"/>
    </xf>
    <xf numFmtId="165" fontId="27" fillId="10" borderId="1" xfId="3" applyFont="1" applyFill="1" applyBorder="1" applyAlignment="1">
      <alignment horizontal="right"/>
    </xf>
    <xf numFmtId="10" fontId="26" fillId="4" borderId="1" xfId="0" applyNumberFormat="1" applyFont="1" applyFill="1" applyBorder="1" applyAlignment="1">
      <alignment horizontal="center" vertical="center"/>
    </xf>
    <xf numFmtId="10" fontId="26" fillId="10" borderId="1" xfId="0" applyNumberFormat="1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44" fontId="24" fillId="10" borderId="1" xfId="0" applyNumberFormat="1" applyFont="1" applyFill="1" applyBorder="1" applyAlignment="1">
      <alignment horizontal="center"/>
    </xf>
    <xf numFmtId="168" fontId="23" fillId="10" borderId="0" xfId="1" applyNumberFormat="1" applyFont="1" applyFill="1" applyBorder="1" applyAlignment="1">
      <alignment horizontal="center" vertical="center" wrapText="1"/>
    </xf>
    <xf numFmtId="9" fontId="23" fillId="10" borderId="0" xfId="2" applyFont="1" applyFill="1" applyBorder="1" applyAlignment="1">
      <alignment horizontal="center" vertical="center" wrapText="1"/>
    </xf>
    <xf numFmtId="168" fontId="23" fillId="4" borderId="0" xfId="1" applyNumberFormat="1" applyFont="1" applyFill="1" applyBorder="1" applyAlignment="1">
      <alignment horizontal="center" vertical="center" wrapText="1"/>
    </xf>
    <xf numFmtId="9" fontId="23" fillId="4" borderId="0" xfId="2" applyFont="1" applyFill="1" applyBorder="1" applyAlignment="1">
      <alignment horizontal="center" vertical="center" wrapText="1"/>
    </xf>
    <xf numFmtId="44" fontId="31" fillId="10" borderId="0" xfId="0" applyNumberFormat="1" applyFont="1" applyFill="1" applyBorder="1"/>
    <xf numFmtId="44" fontId="38" fillId="10" borderId="0" xfId="0" applyNumberFormat="1" applyFont="1" applyFill="1" applyBorder="1"/>
    <xf numFmtId="9" fontId="31" fillId="10" borderId="26" xfId="2" applyFont="1" applyFill="1" applyBorder="1" applyAlignment="1">
      <alignment horizontal="center"/>
    </xf>
    <xf numFmtId="0" fontId="38" fillId="10" borderId="25" xfId="0" applyFont="1" applyFill="1" applyBorder="1" applyAlignment="1">
      <alignment horizontal="center"/>
    </xf>
    <xf numFmtId="0" fontId="25" fillId="10" borderId="19" xfId="0" applyFont="1" applyFill="1" applyBorder="1" applyAlignment="1">
      <alignment horizontal="center"/>
    </xf>
    <xf numFmtId="9" fontId="25" fillId="10" borderId="30" xfId="2" applyFont="1" applyFill="1" applyBorder="1"/>
    <xf numFmtId="174" fontId="36" fillId="2" borderId="16" xfId="1" applyNumberFormat="1" applyFont="1" applyFill="1" applyBorder="1" applyAlignment="1">
      <alignment horizontal="center" vertical="center"/>
    </xf>
    <xf numFmtId="174" fontId="25" fillId="0" borderId="16" xfId="1" applyNumberFormat="1" applyFont="1" applyFill="1" applyBorder="1" applyAlignment="1">
      <alignment vertical="center"/>
    </xf>
    <xf numFmtId="0" fontId="31" fillId="10" borderId="19" xfId="0" applyFont="1" applyFill="1" applyBorder="1" applyAlignment="1">
      <alignment horizontal="center"/>
    </xf>
    <xf numFmtId="0" fontId="31" fillId="10" borderId="30" xfId="0" applyFont="1" applyFill="1" applyBorder="1" applyAlignment="1">
      <alignment horizontal="center"/>
    </xf>
    <xf numFmtId="0" fontId="31" fillId="10" borderId="15" xfId="0" applyFont="1" applyFill="1" applyBorder="1" applyAlignment="1">
      <alignment horizont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44" fontId="25" fillId="4" borderId="3" xfId="0" applyNumberFormat="1" applyFont="1" applyFill="1" applyBorder="1"/>
    <xf numFmtId="9" fontId="25" fillId="4" borderId="4" xfId="2" applyFont="1" applyFill="1" applyBorder="1" applyAlignment="1">
      <alignment horizontal="center"/>
    </xf>
    <xf numFmtId="9" fontId="25" fillId="10" borderId="1" xfId="2" applyFont="1" applyFill="1" applyBorder="1"/>
    <xf numFmtId="174" fontId="36" fillId="4" borderId="1" xfId="1" applyNumberFormat="1" applyFont="1" applyFill="1" applyBorder="1" applyAlignment="1">
      <alignment vertical="center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168" fontId="23" fillId="10" borderId="24" xfId="1" applyNumberFormat="1" applyFont="1" applyFill="1" applyBorder="1" applyAlignment="1">
      <alignment horizontal="center" vertical="center" wrapText="1"/>
    </xf>
    <xf numFmtId="9" fontId="23" fillId="10" borderId="24" xfId="2" applyFont="1" applyFill="1" applyBorder="1" applyAlignment="1">
      <alignment horizontal="center" vertical="center" wrapText="1"/>
    </xf>
    <xf numFmtId="9" fontId="23" fillId="10" borderId="21" xfId="2" applyFont="1" applyFill="1" applyBorder="1" applyAlignment="1">
      <alignment horizontal="center" vertical="center" wrapText="1"/>
    </xf>
    <xf numFmtId="9" fontId="23" fillId="10" borderId="26" xfId="2" applyFont="1" applyFill="1" applyBorder="1" applyAlignment="1">
      <alignment horizontal="center" vertical="center" wrapText="1"/>
    </xf>
    <xf numFmtId="0" fontId="23" fillId="10" borderId="19" xfId="0" applyFont="1" applyFill="1" applyBorder="1" applyAlignment="1">
      <alignment horizontal="center" vertical="center" wrapText="1"/>
    </xf>
    <xf numFmtId="168" fontId="23" fillId="10" borderId="30" xfId="1" applyNumberFormat="1" applyFont="1" applyFill="1" applyBorder="1" applyAlignment="1">
      <alignment horizontal="center" vertical="center" wrapText="1"/>
    </xf>
    <xf numFmtId="9" fontId="23" fillId="10" borderId="30" xfId="2" applyFont="1" applyFill="1" applyBorder="1" applyAlignment="1">
      <alignment horizontal="center" vertical="center" wrapText="1"/>
    </xf>
    <xf numFmtId="9" fontId="23" fillId="10" borderId="15" xfId="2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vertical="center"/>
    </xf>
    <xf numFmtId="44" fontId="21" fillId="0" borderId="0" xfId="0" applyNumberFormat="1" applyFont="1" applyBorder="1"/>
    <xf numFmtId="0" fontId="27" fillId="0" borderId="1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67" fontId="23" fillId="4" borderId="15" xfId="0" applyNumberFormat="1" applyFont="1" applyFill="1" applyBorder="1" applyAlignment="1">
      <alignment vertical="center"/>
    </xf>
    <xf numFmtId="0" fontId="35" fillId="0" borderId="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51" fillId="0" borderId="0" xfId="0" applyFont="1"/>
    <xf numFmtId="0" fontId="52" fillId="8" borderId="1" xfId="0" applyFont="1" applyFill="1" applyBorder="1" applyAlignment="1">
      <alignment horizontal="center" vertical="center" wrapText="1"/>
    </xf>
    <xf numFmtId="0" fontId="53" fillId="0" borderId="0" xfId="0" applyFont="1"/>
    <xf numFmtId="0" fontId="53" fillId="0" borderId="1" xfId="0" applyFont="1" applyFill="1" applyBorder="1" applyAlignment="1">
      <alignment horizontal="left" vertical="top" wrapText="1"/>
    </xf>
    <xf numFmtId="0" fontId="53" fillId="0" borderId="1" xfId="0" applyFont="1" applyBorder="1" applyAlignment="1">
      <alignment horizontal="left" vertical="top" wrapText="1"/>
    </xf>
    <xf numFmtId="0" fontId="54" fillId="0" borderId="1" xfId="0" applyFont="1" applyBorder="1" applyAlignment="1">
      <alignment horizontal="left" vertical="top" wrapText="1"/>
    </xf>
    <xf numFmtId="0" fontId="53" fillId="0" borderId="1" xfId="0" applyFont="1" applyBorder="1" applyAlignment="1">
      <alignment horizontal="center" vertical="center" wrapText="1"/>
    </xf>
    <xf numFmtId="0" fontId="53" fillId="9" borderId="1" xfId="0" applyFont="1" applyFill="1" applyBorder="1" applyAlignment="1">
      <alignment horizontal="left" vertical="top" wrapText="1"/>
    </xf>
    <xf numFmtId="175" fontId="51" fillId="0" borderId="0" xfId="0" applyNumberFormat="1" applyFont="1"/>
    <xf numFmtId="0" fontId="53" fillId="9" borderId="1" xfId="0" applyFont="1" applyFill="1" applyBorder="1" applyAlignment="1">
      <alignment horizontal="center" vertical="center" wrapText="1"/>
    </xf>
    <xf numFmtId="10" fontId="24" fillId="4" borderId="1" xfId="0" applyNumberFormat="1" applyFont="1" applyFill="1" applyBorder="1" applyAlignment="1">
      <alignment horizontal="center" vertical="center"/>
    </xf>
    <xf numFmtId="0" fontId="22" fillId="10" borderId="20" xfId="0" applyFont="1" applyFill="1" applyBorder="1" applyAlignment="1">
      <alignment horizontal="center" vertical="center"/>
    </xf>
    <xf numFmtId="0" fontId="22" fillId="10" borderId="24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left" vertical="top" wrapText="1"/>
    </xf>
    <xf numFmtId="0" fontId="24" fillId="10" borderId="0" xfId="0" applyFont="1" applyFill="1" applyBorder="1" applyAlignment="1">
      <alignment horizontal="left" vertical="top" wrapText="1"/>
    </xf>
    <xf numFmtId="0" fontId="24" fillId="10" borderId="26" xfId="0" applyFont="1" applyFill="1" applyBorder="1" applyAlignment="1">
      <alignment horizontal="left" vertical="top" wrapText="1"/>
    </xf>
    <xf numFmtId="0" fontId="24" fillId="10" borderId="19" xfId="0" applyFont="1" applyFill="1" applyBorder="1" applyAlignment="1">
      <alignment horizontal="left" vertical="top" wrapText="1"/>
    </xf>
    <xf numFmtId="0" fontId="24" fillId="10" borderId="30" xfId="0" applyFont="1" applyFill="1" applyBorder="1" applyAlignment="1">
      <alignment horizontal="left" vertical="top" wrapText="1"/>
    </xf>
    <xf numFmtId="0" fontId="24" fillId="10" borderId="15" xfId="0" applyFont="1" applyFill="1" applyBorder="1" applyAlignment="1">
      <alignment horizontal="left" vertical="top" wrapText="1"/>
    </xf>
    <xf numFmtId="0" fontId="43" fillId="0" borderId="20" xfId="0" applyFont="1" applyFill="1" applyBorder="1" applyAlignment="1">
      <alignment horizontal="left" vertical="top" wrapText="1"/>
    </xf>
    <xf numFmtId="0" fontId="43" fillId="0" borderId="24" xfId="0" applyFont="1" applyFill="1" applyBorder="1" applyAlignment="1">
      <alignment horizontal="left" vertical="top" wrapText="1"/>
    </xf>
    <xf numFmtId="0" fontId="43" fillId="0" borderId="21" xfId="0" applyFont="1" applyFill="1" applyBorder="1" applyAlignment="1">
      <alignment horizontal="left" vertical="top" wrapText="1"/>
    </xf>
    <xf numFmtId="0" fontId="43" fillId="0" borderId="25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vertical="top" wrapText="1"/>
    </xf>
    <xf numFmtId="0" fontId="43" fillId="0" borderId="26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left" vertical="top" wrapText="1"/>
    </xf>
    <xf numFmtId="0" fontId="43" fillId="0" borderId="28" xfId="0" applyFont="1" applyFill="1" applyBorder="1" applyAlignment="1">
      <alignment horizontal="left" vertical="top" wrapText="1"/>
    </xf>
    <xf numFmtId="0" fontId="43" fillId="0" borderId="29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35" fillId="4" borderId="19" xfId="0" applyFont="1" applyFill="1" applyBorder="1" applyAlignment="1">
      <alignment horizontal="center" vertical="center"/>
    </xf>
    <xf numFmtId="0" fontId="35" fillId="4" borderId="30" xfId="0" applyFont="1" applyFill="1" applyBorder="1" applyAlignment="1">
      <alignment horizontal="center" vertical="center"/>
    </xf>
    <xf numFmtId="167" fontId="23" fillId="4" borderId="20" xfId="0" applyNumberFormat="1" applyFont="1" applyFill="1" applyBorder="1" applyAlignment="1">
      <alignment horizontal="center" vertical="center"/>
    </xf>
    <xf numFmtId="167" fontId="23" fillId="4" borderId="24" xfId="0" applyNumberFormat="1" applyFont="1" applyFill="1" applyBorder="1" applyAlignment="1">
      <alignment horizontal="center" vertical="center"/>
    </xf>
    <xf numFmtId="167" fontId="23" fillId="4" borderId="19" xfId="0" applyNumberFormat="1" applyFont="1" applyFill="1" applyBorder="1" applyAlignment="1">
      <alignment horizontal="center" vertical="center"/>
    </xf>
    <xf numFmtId="167" fontId="23" fillId="4" borderId="30" xfId="0" applyNumberFormat="1" applyFont="1" applyFill="1" applyBorder="1" applyAlignment="1">
      <alignment horizontal="center" vertical="center"/>
    </xf>
    <xf numFmtId="0" fontId="46" fillId="10" borderId="25" xfId="0" applyFont="1" applyFill="1" applyBorder="1" applyAlignment="1">
      <alignment horizontal="left" vertical="top" wrapText="1"/>
    </xf>
    <xf numFmtId="0" fontId="46" fillId="10" borderId="0" xfId="0" applyFont="1" applyFill="1" applyBorder="1" applyAlignment="1">
      <alignment horizontal="left" vertical="top"/>
    </xf>
    <xf numFmtId="0" fontId="46" fillId="10" borderId="26" xfId="0" applyFont="1" applyFill="1" applyBorder="1" applyAlignment="1">
      <alignment horizontal="left" vertical="top"/>
    </xf>
    <xf numFmtId="0" fontId="46" fillId="10" borderId="19" xfId="0" applyFont="1" applyFill="1" applyBorder="1" applyAlignment="1">
      <alignment horizontal="left" vertical="top" wrapText="1"/>
    </xf>
    <xf numFmtId="0" fontId="46" fillId="10" borderId="30" xfId="0" applyFont="1" applyFill="1" applyBorder="1" applyAlignment="1">
      <alignment horizontal="left" vertical="top"/>
    </xf>
    <xf numFmtId="0" fontId="46" fillId="10" borderId="15" xfId="0" applyFont="1" applyFill="1" applyBorder="1" applyAlignment="1">
      <alignment horizontal="left" vertical="top"/>
    </xf>
    <xf numFmtId="0" fontId="28" fillId="10" borderId="20" xfId="0" applyFont="1" applyFill="1" applyBorder="1" applyAlignment="1">
      <alignment horizontal="center" vertical="center" wrapText="1"/>
    </xf>
    <xf numFmtId="0" fontId="28" fillId="10" borderId="24" xfId="0" applyFont="1" applyFill="1" applyBorder="1" applyAlignment="1">
      <alignment horizontal="center" vertical="center" wrapText="1"/>
    </xf>
    <xf numFmtId="0" fontId="28" fillId="10" borderId="21" xfId="0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4" borderId="30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2" fillId="10" borderId="19" xfId="0" applyFont="1" applyFill="1" applyBorder="1" applyAlignment="1">
      <alignment horizontal="left" vertical="top" wrapText="1"/>
    </xf>
    <xf numFmtId="0" fontId="22" fillId="10" borderId="30" xfId="0" applyFont="1" applyFill="1" applyBorder="1" applyAlignment="1">
      <alignment horizontal="left" vertical="top"/>
    </xf>
    <xf numFmtId="0" fontId="22" fillId="10" borderId="15" xfId="0" applyFont="1" applyFill="1" applyBorder="1" applyAlignment="1">
      <alignment horizontal="left" vertical="top"/>
    </xf>
    <xf numFmtId="0" fontId="28" fillId="10" borderId="20" xfId="0" applyFont="1" applyFill="1" applyBorder="1" applyAlignment="1">
      <alignment horizontal="center" vertical="center"/>
    </xf>
    <xf numFmtId="0" fontId="28" fillId="10" borderId="24" xfId="0" applyFont="1" applyFill="1" applyBorder="1" applyAlignment="1">
      <alignment horizontal="center" vertical="center"/>
    </xf>
    <xf numFmtId="0" fontId="28" fillId="10" borderId="21" xfId="0" applyFont="1" applyFill="1" applyBorder="1" applyAlignment="1">
      <alignment horizontal="center" vertical="center"/>
    </xf>
    <xf numFmtId="0" fontId="28" fillId="10" borderId="19" xfId="0" applyFont="1" applyFill="1" applyBorder="1" applyAlignment="1">
      <alignment horizontal="center"/>
    </xf>
    <xf numFmtId="0" fontId="28" fillId="10" borderId="30" xfId="0" applyFont="1" applyFill="1" applyBorder="1" applyAlignment="1">
      <alignment horizontal="center"/>
    </xf>
    <xf numFmtId="0" fontId="28" fillId="10" borderId="1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8" fillId="10" borderId="3" xfId="0" applyFont="1" applyFill="1" applyBorder="1" applyAlignment="1">
      <alignment horizontal="center" vertical="center" wrapText="1"/>
    </xf>
    <xf numFmtId="0" fontId="28" fillId="10" borderId="5" xfId="0" applyFont="1" applyFill="1" applyBorder="1" applyAlignment="1">
      <alignment horizontal="center" vertical="center" wrapText="1"/>
    </xf>
    <xf numFmtId="0" fontId="28" fillId="10" borderId="4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/>
    </xf>
    <xf numFmtId="0" fontId="24" fillId="10" borderId="5" xfId="0" applyFont="1" applyFill="1" applyBorder="1" applyAlignment="1">
      <alignment horizontal="center"/>
    </xf>
    <xf numFmtId="0" fontId="24" fillId="10" borderId="4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8" fillId="10" borderId="25" xfId="0" applyFont="1" applyFill="1" applyBorder="1" applyAlignment="1">
      <alignment horizontal="left" vertical="top" wrapText="1"/>
    </xf>
    <xf numFmtId="0" fontId="28" fillId="10" borderId="0" xfId="0" applyFont="1" applyFill="1" applyBorder="1" applyAlignment="1">
      <alignment horizontal="left" vertical="top" wrapText="1"/>
    </xf>
    <xf numFmtId="0" fontId="28" fillId="10" borderId="26" xfId="0" applyFont="1" applyFill="1" applyBorder="1" applyAlignment="1">
      <alignment horizontal="left" vertical="top" wrapText="1"/>
    </xf>
    <xf numFmtId="0" fontId="28" fillId="10" borderId="19" xfId="0" applyFont="1" applyFill="1" applyBorder="1" applyAlignment="1">
      <alignment horizontal="left" vertical="top" wrapText="1"/>
    </xf>
    <xf numFmtId="0" fontId="28" fillId="10" borderId="30" xfId="0" applyFont="1" applyFill="1" applyBorder="1" applyAlignment="1">
      <alignment horizontal="left" vertical="top" wrapText="1"/>
    </xf>
    <xf numFmtId="0" fontId="28" fillId="10" borderId="15" xfId="0" applyFont="1" applyFill="1" applyBorder="1" applyAlignment="1">
      <alignment horizontal="left" vertical="top" wrapText="1"/>
    </xf>
    <xf numFmtId="0" fontId="23" fillId="10" borderId="20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2" fillId="10" borderId="25" xfId="0" applyFont="1" applyFill="1" applyBorder="1" applyAlignment="1">
      <alignment horizontal="left" vertical="top" wrapText="1"/>
    </xf>
    <xf numFmtId="0" fontId="22" fillId="10" borderId="0" xfId="0" applyFont="1" applyFill="1" applyBorder="1" applyAlignment="1">
      <alignment horizontal="left" vertical="top"/>
    </xf>
    <xf numFmtId="0" fontId="22" fillId="10" borderId="26" xfId="0" applyFont="1" applyFill="1" applyBorder="1" applyAlignment="1">
      <alignment horizontal="left" vertical="top"/>
    </xf>
    <xf numFmtId="0" fontId="24" fillId="0" borderId="0" xfId="0" applyFont="1" applyBorder="1" applyAlignment="1">
      <alignment horizontal="center" vertical="center"/>
    </xf>
    <xf numFmtId="0" fontId="22" fillId="10" borderId="25" xfId="0" applyFont="1" applyFill="1" applyBorder="1" applyAlignment="1">
      <alignment horizontal="left" vertical="center" wrapText="1"/>
    </xf>
    <xf numFmtId="0" fontId="22" fillId="10" borderId="0" xfId="0" applyFont="1" applyFill="1" applyBorder="1" applyAlignment="1">
      <alignment horizontal="left" vertical="center"/>
    </xf>
    <xf numFmtId="0" fontId="22" fillId="10" borderId="26" xfId="0" applyFont="1" applyFill="1" applyBorder="1" applyAlignment="1">
      <alignment horizontal="left" vertical="center"/>
    </xf>
    <xf numFmtId="0" fontId="22" fillId="10" borderId="19" xfId="0" applyFont="1" applyFill="1" applyBorder="1" applyAlignment="1">
      <alignment horizontal="left" vertical="center"/>
    </xf>
    <xf numFmtId="0" fontId="22" fillId="10" borderId="30" xfId="0" applyFont="1" applyFill="1" applyBorder="1" applyAlignment="1">
      <alignment horizontal="left" vertical="center"/>
    </xf>
    <xf numFmtId="0" fontId="22" fillId="10" borderId="15" xfId="0" applyFont="1" applyFill="1" applyBorder="1" applyAlignment="1">
      <alignment horizontal="left" vertical="center"/>
    </xf>
    <xf numFmtId="0" fontId="28" fillId="10" borderId="25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8" fillId="10" borderId="26" xfId="0" applyFont="1" applyFill="1" applyBorder="1" applyAlignment="1">
      <alignment horizontal="center" vertical="center"/>
    </xf>
    <xf numFmtId="0" fontId="32" fillId="10" borderId="25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center" vertical="center" wrapText="1"/>
    </xf>
    <xf numFmtId="0" fontId="32" fillId="10" borderId="30" xfId="0" applyFont="1" applyFill="1" applyBorder="1" applyAlignment="1">
      <alignment horizontal="center" vertical="center" wrapText="1"/>
    </xf>
    <xf numFmtId="0" fontId="32" fillId="10" borderId="15" xfId="0" applyFont="1" applyFill="1" applyBorder="1" applyAlignment="1">
      <alignment horizontal="center" vertical="center" wrapText="1"/>
    </xf>
    <xf numFmtId="0" fontId="30" fillId="10" borderId="25" xfId="0" applyFont="1" applyFill="1" applyBorder="1" applyAlignment="1">
      <alignment horizontal="center" vertical="center" wrapText="1"/>
    </xf>
    <xf numFmtId="0" fontId="30" fillId="10" borderId="0" xfId="0" applyFont="1" applyFill="1" applyBorder="1" applyAlignment="1">
      <alignment horizontal="center" vertical="center" wrapText="1"/>
    </xf>
    <xf numFmtId="0" fontId="30" fillId="10" borderId="26" xfId="0" applyFont="1" applyFill="1" applyBorder="1" applyAlignment="1">
      <alignment horizontal="center" vertical="center" wrapText="1"/>
    </xf>
    <xf numFmtId="0" fontId="30" fillId="10" borderId="19" xfId="0" applyFont="1" applyFill="1" applyBorder="1" applyAlignment="1">
      <alignment horizontal="center" vertical="center" wrapText="1"/>
    </xf>
    <xf numFmtId="0" fontId="30" fillId="10" borderId="30" xfId="0" applyFont="1" applyFill="1" applyBorder="1" applyAlignment="1">
      <alignment horizontal="center" vertical="center" wrapText="1"/>
    </xf>
    <xf numFmtId="0" fontId="30" fillId="10" borderId="15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43" fillId="10" borderId="3" xfId="0" applyFont="1" applyFill="1" applyBorder="1" applyAlignment="1">
      <alignment horizontal="center" vertical="center" wrapText="1"/>
    </xf>
    <xf numFmtId="0" fontId="43" fillId="10" borderId="5" xfId="0" applyFont="1" applyFill="1" applyBorder="1" applyAlignment="1">
      <alignment horizontal="center" vertical="center" wrapText="1"/>
    </xf>
    <xf numFmtId="0" fontId="43" fillId="10" borderId="4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0" fontId="23" fillId="10" borderId="5" xfId="0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/>
    </xf>
    <xf numFmtId="0" fontId="23" fillId="10" borderId="30" xfId="0" applyFont="1" applyFill="1" applyBorder="1" applyAlignment="1">
      <alignment horizontal="center"/>
    </xf>
    <xf numFmtId="0" fontId="23" fillId="10" borderId="15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 vertical="center" wrapText="1"/>
    </xf>
    <xf numFmtId="0" fontId="35" fillId="10" borderId="0" xfId="0" applyFont="1" applyFill="1" applyAlignment="1">
      <alignment horizontal="center" vertical="center"/>
    </xf>
    <xf numFmtId="0" fontId="23" fillId="10" borderId="20" xfId="0" applyFont="1" applyFill="1" applyBorder="1" applyAlignment="1">
      <alignment horizontal="center" vertical="center"/>
    </xf>
    <xf numFmtId="0" fontId="23" fillId="10" borderId="24" xfId="0" applyFont="1" applyFill="1" applyBorder="1" applyAlignment="1">
      <alignment horizontal="center" vertical="center"/>
    </xf>
    <xf numFmtId="0" fontId="23" fillId="10" borderId="21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2" fillId="10" borderId="5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35" fillId="10" borderId="3" xfId="0" applyFont="1" applyFill="1" applyBorder="1" applyAlignment="1">
      <alignment horizontal="center" vertical="center"/>
    </xf>
    <xf numFmtId="0" fontId="35" fillId="10" borderId="5" xfId="0" applyFont="1" applyFill="1" applyBorder="1" applyAlignment="1">
      <alignment horizontal="center" vertical="center"/>
    </xf>
    <xf numFmtId="0" fontId="35" fillId="10" borderId="4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/>
    </xf>
    <xf numFmtId="0" fontId="52" fillId="8" borderId="20" xfId="0" applyFont="1" applyFill="1" applyBorder="1" applyAlignment="1">
      <alignment horizontal="center" vertical="center"/>
    </xf>
    <xf numFmtId="0" fontId="52" fillId="8" borderId="21" xfId="0" applyFont="1" applyFill="1" applyBorder="1" applyAlignment="1">
      <alignment horizontal="center" vertical="center"/>
    </xf>
    <xf numFmtId="0" fontId="52" fillId="8" borderId="19" xfId="0" applyFont="1" applyFill="1" applyBorder="1" applyAlignment="1">
      <alignment horizontal="center" vertical="center"/>
    </xf>
    <xf numFmtId="0" fontId="52" fillId="8" borderId="15" xfId="0" applyFont="1" applyFill="1" applyBorder="1" applyAlignment="1">
      <alignment horizontal="center" vertical="center"/>
    </xf>
    <xf numFmtId="0" fontId="53" fillId="9" borderId="1" xfId="0" applyFont="1" applyFill="1" applyBorder="1" applyAlignment="1">
      <alignment horizontal="center" vertical="center" wrapText="1"/>
    </xf>
    <xf numFmtId="0" fontId="53" fillId="9" borderId="22" xfId="0" applyFont="1" applyFill="1" applyBorder="1" applyAlignment="1">
      <alignment horizontal="center" vertical="center" wrapText="1"/>
    </xf>
    <xf numFmtId="0" fontId="53" fillId="9" borderId="23" xfId="0" applyFont="1" applyFill="1" applyBorder="1" applyAlignment="1">
      <alignment horizontal="center" vertical="center" wrapText="1"/>
    </xf>
    <xf numFmtId="0" fontId="53" fillId="9" borderId="16" xfId="0" applyFont="1" applyFill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0" fontId="53" fillId="0" borderId="22" xfId="0" applyFont="1" applyBorder="1" applyAlignment="1">
      <alignment horizontal="left" vertical="top" wrapText="1"/>
    </xf>
    <xf numFmtId="0" fontId="53" fillId="0" borderId="23" xfId="0" applyFont="1" applyBorder="1" applyAlignment="1">
      <alignment horizontal="left" vertical="top" wrapText="1"/>
    </xf>
    <xf numFmtId="0" fontId="53" fillId="0" borderId="16" xfId="0" applyFont="1" applyBorder="1" applyAlignment="1">
      <alignment horizontal="left" vertical="top" wrapText="1"/>
    </xf>
    <xf numFmtId="0" fontId="41" fillId="0" borderId="10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9" borderId="22" xfId="0" applyFont="1" applyFill="1" applyBorder="1" applyAlignment="1">
      <alignment horizontal="center" vertical="center" wrapText="1"/>
    </xf>
    <xf numFmtId="0" fontId="27" fillId="9" borderId="16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9" borderId="23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26" fillId="8" borderId="19" xfId="0" applyFont="1" applyFill="1" applyBorder="1" applyAlignment="1">
      <alignment horizontal="center" vertical="center"/>
    </xf>
    <xf numFmtId="0" fontId="26" fillId="8" borderId="15" xfId="0" applyFont="1" applyFill="1" applyBorder="1" applyAlignment="1">
      <alignment horizontal="center" vertical="center"/>
    </xf>
  </cellXfs>
  <cellStyles count="5">
    <cellStyle name="Excel Built-in Normal" xfId="4"/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hartsheet" Target="chartsheets/sheet1.xml"/><Relationship Id="rId30" Type="http://schemas.openxmlformats.org/officeDocument/2006/relationships/worksheet" Target="worksheets/sheet2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CURVA ABC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Itens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'Curva ABC'!$B$6:$B$18</c:f>
              <c:strCache>
                <c:ptCount val="13"/>
                <c:pt idx="0">
                  <c:v>Profissional com formação em Ciências Sociais e Humanas, com destaque para Sociólogo, Pedagogo e Assistente Social</c:v>
                </c:pt>
                <c:pt idx="1">
                  <c:v>Evento Setorial</c:v>
                </c:pt>
                <c:pt idx="2">
                  <c:v>Engenheiro (Ambiental, Civil ou Sanitarista)</c:v>
                </c:pt>
                <c:pt idx="3">
                  <c:v>Engenheiro Coordenador (Ambiental, Civil ou Sanitarista)</c:v>
                </c:pt>
                <c:pt idx="4">
                  <c:v>Estrutura de Apoio</c:v>
                </c:pt>
                <c:pt idx="5">
                  <c:v>Audiências Municipal</c:v>
                </c:pt>
                <c:pt idx="6">
                  <c:v>Equipe Técnica Eventual</c:v>
                </c:pt>
                <c:pt idx="7">
                  <c:v>Estagiário em Engenharia Ambiental, Civil ou Sanitária</c:v>
                </c:pt>
                <c:pt idx="8">
                  <c:v>Secretária</c:v>
                </c:pt>
                <c:pt idx="9">
                  <c:v>Estagiário em Sociologia ou Pedagogia ou Ciências Humanas</c:v>
                </c:pt>
                <c:pt idx="10">
                  <c:v>Técnico em Informática</c:v>
                </c:pt>
                <c:pt idx="11">
                  <c:v>Custos Gráficos</c:v>
                </c:pt>
                <c:pt idx="12">
                  <c:v>Outros Custos</c:v>
                </c:pt>
              </c:strCache>
            </c:strRef>
          </c:cat>
          <c:val>
            <c:numRef>
              <c:f>'Curva ABC'!$F$6:$F$18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6A0-418A-A68D-46F8F57108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smooth val="0"/>
        <c:axId val="277347184"/>
        <c:axId val="277342144"/>
      </c:lineChart>
      <c:catAx>
        <c:axId val="27734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7342144"/>
        <c:crosses val="autoZero"/>
        <c:auto val="1"/>
        <c:lblAlgn val="ctr"/>
        <c:lblOffset val="100"/>
        <c:noMultiLvlLbl val="0"/>
      </c:catAx>
      <c:valAx>
        <c:axId val="2773421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crossAx val="27734718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2156" cy="598884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MSB\Or&#231;amento\A%20-%20Modelo%20de%20Or&#231;amento%20Cv%20PMSB\Vers&#245;es%20Atualizadas%202018%20-%20VF\Modelo%20Or&#231;amento%20-%2020.001%20At&#233;%2050.000%20hab%20-%20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Gerais do Município"/>
      <sheetName val="Encargos sociais"/>
      <sheetName val="Equipe Técnica Permanente"/>
      <sheetName val="Estrutura de apoio"/>
      <sheetName val="Distribuição Custos FIXOS"/>
      <sheetName val="Mobil. e Participação Social"/>
      <sheetName val="Audiência Municipal"/>
      <sheetName val="Equipe Técnica Eventual"/>
      <sheetName val="Deslocamento Terrestre"/>
      <sheetName val="Deslocamento Hidroviário"/>
      <sheetName val="PA"/>
      <sheetName val="PB"/>
      <sheetName val="PC"/>
      <sheetName val="PD"/>
      <sheetName val="PE"/>
      <sheetName val="PF"/>
      <sheetName val="PG"/>
      <sheetName val="PH"/>
      <sheetName val="PI"/>
      <sheetName val="PJ"/>
      <sheetName val="PK"/>
      <sheetName val="BDI"/>
      <sheetName val="Distribuição Custos Variáveis"/>
      <sheetName val="Resumo Final"/>
      <sheetName val="Cronograma Fis Fin"/>
      <sheetName val="Curva ABC"/>
      <sheetName val="Curva ABC Gráf"/>
      <sheetName val="Comp Prod 2012 x 2018 Geral"/>
      <sheetName val="Comparativo Produtos em 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Portaria de nomeação do Comitê Executivo, Mapeamento dos atores locais, Proposta de Composição do Comitê de Coordenação, Proposta com a definição dos Setores de Mobilização (SM) e Relatório de Acompanhamento das Atividades.</v>
          </cell>
        </row>
      </sheetData>
      <sheetData sheetId="11">
        <row r="5">
          <cell r="B5" t="str">
            <v>Decreto de Nomeação do Comitê de Coordenação e respectivo regimento interno, Relatório da Estratégia de Mobilização, Participação Social e Comunicação, prevendo todos os eventos participativos, tendo sido aprovado por deliberação do Comitê de Coordenação, Relatório de Acompanhamento das Atividades, informando qual sistema de informação será adotado na elaboração do PMSB</v>
          </cell>
        </row>
      </sheetData>
      <sheetData sheetId="12">
        <row r="5">
          <cell r="B5" t="str">
            <v>Relatório do diagnóstico técnico-participativo e apresentação do Quadro com o Resumo Analítico do Diagnóstico do PMSB, Relatório de Acompanhamento das Atividades.</v>
          </cell>
        </row>
      </sheetData>
      <sheetData sheetId="13">
        <row r="5">
          <cell r="B5" t="str">
            <v>Relatório do Prognóstico do PMSB: cenário de referência para a gestão dos serviços; objetivos e metas; prospectivas técnicas para abastecimento de água, esgotamento sanitário, manejo de águas pluviais e manejo de resíduos sólidos, Relatório de Acompanhamento de Atividades.</v>
          </cell>
        </row>
      </sheetData>
      <sheetData sheetId="14">
        <row r="5">
          <cell r="B5" t="str">
            <v xml:space="preserve">Relatório com a proposição dos Programas, Projetos e Ações do PMSB e respectivo Quadro 3 com as Propostas do PMSB, Quadro 4 com o resultado da aplicação da Metodologia para Hierarquização das Propostas do PMSB, Programação de Execução do PMSB com a Apresentação do Quadro 5 e Relatório de Acompanhamento das Atividades. </v>
          </cell>
        </row>
      </sheetData>
      <sheetData sheetId="15">
        <row r="5">
          <cell r="B5" t="str">
            <v>Proposta de Indicadores de Desempenho do PMSB e Relatório de Acompanhamento das Atividades.</v>
          </cell>
        </row>
      </sheetData>
      <sheetData sheetId="16">
        <row r="5">
          <cell r="B5" t="str">
            <v>Documento Consolidado do PMSB, com a incorporação das contribuições pactuadas na audiência pública (ou conferencia municipal) e por deliberação do Comitê de Coordenação. Devem ser Disponibilizadas 2 (duas) cópias para o município, sendo uma digital para a publicação na página eletrônica da Prefeitura e outra impressa, e para a Funasa apenas a cópia digital, Minuta do Projeto de Lei para aprovação do PMSB, tendo o documento consolidado do PMSB em anexo, Resumo executivo do PMSB, de acordo com o escopo mínimo estabelecido pelo TR, Relatório de Acompanhamento das Atividades com registro completo da audiência pública realizada para aprovação do PMSB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7"/>
  <sheetViews>
    <sheetView tabSelected="1" view="pageBreakPreview" zoomScaleNormal="100" zoomScaleSheetLayoutView="100" workbookViewId="0">
      <selection activeCell="D9" sqref="D9"/>
    </sheetView>
  </sheetViews>
  <sheetFormatPr defaultRowHeight="16.5" x14ac:dyDescent="0.3"/>
  <cols>
    <col min="1" max="1" width="8.7109375" style="6" customWidth="1"/>
    <col min="2" max="2" width="9.140625" style="6"/>
    <col min="3" max="3" width="73.5703125" style="6" bestFit="1" customWidth="1"/>
    <col min="4" max="4" width="38.7109375" style="5" bestFit="1" customWidth="1"/>
    <col min="5" max="5" width="8.7109375" style="6" customWidth="1"/>
    <col min="6" max="6" width="20.28515625" style="6" customWidth="1"/>
    <col min="7" max="8" width="9" style="5" customWidth="1"/>
    <col min="9" max="10" width="15.7109375" style="6" customWidth="1"/>
    <col min="11" max="11" width="21" style="6" customWidth="1"/>
    <col min="14" max="16384" width="9.140625" style="6"/>
  </cols>
  <sheetData>
    <row r="1" spans="2:13" ht="16.5" customHeight="1" x14ac:dyDescent="0.3">
      <c r="L1" s="68"/>
      <c r="M1" s="68"/>
    </row>
    <row r="2" spans="2:13" ht="35.25" x14ac:dyDescent="0.3">
      <c r="B2" s="444" t="str">
        <f>CONCATENATE("Dados Gerais do Município de ",'Dados Gerais do Município'!D8)</f>
        <v>Dados Gerais do Município de Exemplo</v>
      </c>
      <c r="C2" s="445"/>
      <c r="D2" s="446"/>
      <c r="G2" s="64"/>
      <c r="J2" s="82">
        <v>8</v>
      </c>
    </row>
    <row r="3" spans="2:13" ht="20.25" customHeight="1" x14ac:dyDescent="0.3">
      <c r="B3" s="447" t="s">
        <v>361</v>
      </c>
      <c r="C3" s="448"/>
      <c r="D3" s="449"/>
      <c r="G3" s="64"/>
    </row>
    <row r="4" spans="2:13" ht="16.5" customHeight="1" x14ac:dyDescent="0.3">
      <c r="B4" s="447" t="s">
        <v>362</v>
      </c>
      <c r="C4" s="448"/>
      <c r="D4" s="449"/>
    </row>
    <row r="5" spans="2:13" ht="16.5" customHeight="1" x14ac:dyDescent="0.3">
      <c r="B5" s="447" t="s">
        <v>363</v>
      </c>
      <c r="C5" s="448"/>
      <c r="D5" s="449"/>
      <c r="L5" s="68"/>
      <c r="M5" s="68"/>
    </row>
    <row r="6" spans="2:13" ht="16.5" customHeight="1" x14ac:dyDescent="0.3">
      <c r="B6" s="450" t="s">
        <v>423</v>
      </c>
      <c r="C6" s="451"/>
      <c r="D6" s="452"/>
    </row>
    <row r="7" spans="2:13" x14ac:dyDescent="0.3">
      <c r="B7" s="5"/>
      <c r="C7" s="5"/>
      <c r="E7" s="5"/>
      <c r="L7" s="68"/>
      <c r="M7" s="68"/>
    </row>
    <row r="8" spans="2:13" x14ac:dyDescent="0.3">
      <c r="B8" s="244">
        <v>1</v>
      </c>
      <c r="C8" s="245" t="s">
        <v>101</v>
      </c>
      <c r="D8" s="246" t="s">
        <v>436</v>
      </c>
      <c r="G8" s="32"/>
    </row>
    <row r="9" spans="2:13" x14ac:dyDescent="0.3">
      <c r="B9" s="247">
        <v>2</v>
      </c>
      <c r="C9" s="91" t="s">
        <v>102</v>
      </c>
      <c r="D9" s="248"/>
      <c r="G9" s="32"/>
    </row>
    <row r="10" spans="2:13" x14ac:dyDescent="0.3">
      <c r="B10" s="249">
        <v>3</v>
      </c>
      <c r="C10" s="206" t="s">
        <v>103</v>
      </c>
      <c r="D10" s="250"/>
      <c r="G10" s="32"/>
    </row>
    <row r="11" spans="2:13" x14ac:dyDescent="0.3">
      <c r="B11" s="247">
        <v>4</v>
      </c>
      <c r="C11" s="91" t="s">
        <v>156</v>
      </c>
      <c r="D11" s="248"/>
      <c r="G11" s="32"/>
    </row>
    <row r="12" spans="2:13" x14ac:dyDescent="0.3">
      <c r="B12" s="249">
        <v>5</v>
      </c>
      <c r="C12" s="206" t="s">
        <v>155</v>
      </c>
      <c r="D12" s="250">
        <f>D10*D11</f>
        <v>0</v>
      </c>
      <c r="G12" s="32"/>
    </row>
    <row r="13" spans="2:13" x14ac:dyDescent="0.3">
      <c r="B13" s="247">
        <v>6</v>
      </c>
      <c r="C13" s="91" t="s">
        <v>108</v>
      </c>
      <c r="D13" s="248"/>
      <c r="G13" s="32"/>
    </row>
    <row r="14" spans="2:13" x14ac:dyDescent="0.3">
      <c r="B14" s="249">
        <v>7</v>
      </c>
      <c r="C14" s="206" t="s">
        <v>157</v>
      </c>
      <c r="D14" s="250">
        <f>D13*D11</f>
        <v>0</v>
      </c>
      <c r="G14" s="32"/>
    </row>
    <row r="15" spans="2:13" x14ac:dyDescent="0.3">
      <c r="B15" s="247">
        <v>8</v>
      </c>
      <c r="C15" s="91" t="s">
        <v>293</v>
      </c>
      <c r="D15" s="248"/>
      <c r="G15" s="32"/>
    </row>
    <row r="16" spans="2:13" x14ac:dyDescent="0.3">
      <c r="B16" s="251">
        <v>9</v>
      </c>
      <c r="C16" s="252" t="s">
        <v>270</v>
      </c>
      <c r="D16" s="253">
        <f>IF(D9&lt;=20000,8,"Utilizar Planilha 20.001 a 50.000 hab")</f>
        <v>8</v>
      </c>
      <c r="G16" s="32"/>
    </row>
    <row r="17" spans="4:6" ht="16.5" customHeight="1" x14ac:dyDescent="0.3">
      <c r="D17" s="73"/>
      <c r="E17" s="28"/>
      <c r="F17" s="32"/>
    </row>
  </sheetData>
  <dataConsolidate function="count" topLabels="1" link="1">
    <dataRefs count="2">
      <dataRef ref="C5:E12" sheet="Dados Gerais do Município"/>
      <dataRef ref="E6:E13" sheet="Dados Gerais do Município"/>
    </dataRefs>
  </dataConsolidate>
  <mergeCells count="5">
    <mergeCell ref="B2:D2"/>
    <mergeCell ref="B3:D3"/>
    <mergeCell ref="B4:D4"/>
    <mergeCell ref="B5:D5"/>
    <mergeCell ref="B6:D6"/>
  </mergeCells>
  <dataValidations count="3">
    <dataValidation type="whole" operator="greaterThanOrEqual" allowBlank="1" showInputMessage="1" showErrorMessage="1" error="O número mínimo de Conferências Municipais é 1, conforme Termo de Referência." sqref="D15">
      <formula1>1</formula1>
    </dataValidation>
    <dataValidation type="whole" operator="greaterThanOrEqual" allowBlank="1" showInputMessage="1" showErrorMessage="1" error="O número mínimo de Eventos Setoriais por Setor de Mobilização é 2, conforme Termo de Referência." sqref="D11">
      <formula1>2</formula1>
    </dataValidation>
    <dataValidation type="list" allowBlank="1" showInputMessage="1" showErrorMessage="1" sqref="F17">
      <formula1>J2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8.7109375" style="20" customWidth="1"/>
    <col min="2" max="2" width="6.7109375" style="74" customWidth="1"/>
    <col min="3" max="3" width="70.85546875" style="20" customWidth="1"/>
    <col min="4" max="4" width="13.7109375" style="20" bestFit="1" customWidth="1"/>
    <col min="5" max="6" width="8.42578125" style="74" customWidth="1"/>
    <col min="7" max="7" width="16.28515625" style="20" customWidth="1"/>
    <col min="8" max="8" width="19.140625" style="20" customWidth="1"/>
    <col min="9" max="9" width="8.7109375" style="21" customWidth="1"/>
    <col min="10" max="13" width="15.7109375" style="20" customWidth="1"/>
    <col min="14" max="16384" width="9.140625" style="20"/>
  </cols>
  <sheetData>
    <row r="1" spans="2:9" ht="16.5" customHeight="1" x14ac:dyDescent="0.2"/>
    <row r="2" spans="2:9" ht="51.75" customHeight="1" x14ac:dyDescent="0.2">
      <c r="B2" s="484" t="str">
        <f>CONCATENATE("Custo Adicional para 1 Evento em Localidade Remota com Acesso Hidroviário - Município de ",'Dados Gerais do Município'!D8)</f>
        <v>Custo Adicional para 1 Evento em Localidade Remota com Acesso Hidroviário - Município de Exemplo</v>
      </c>
      <c r="C2" s="485"/>
      <c r="D2" s="485"/>
      <c r="E2" s="485"/>
      <c r="F2" s="485"/>
      <c r="G2" s="485"/>
      <c r="H2" s="486"/>
    </row>
    <row r="3" spans="2:9" ht="18" customHeight="1" x14ac:dyDescent="0.2">
      <c r="B3" s="528" t="s">
        <v>433</v>
      </c>
      <c r="C3" s="529"/>
      <c r="D3" s="529"/>
      <c r="E3" s="529"/>
      <c r="F3" s="529"/>
      <c r="G3" s="529"/>
      <c r="H3" s="530"/>
    </row>
    <row r="4" spans="2:9" ht="19.5" customHeight="1" x14ac:dyDescent="0.2">
      <c r="B4" s="531" t="s">
        <v>431</v>
      </c>
      <c r="C4" s="532"/>
      <c r="D4" s="532"/>
      <c r="E4" s="532"/>
      <c r="F4" s="532"/>
      <c r="G4" s="532"/>
      <c r="H4" s="533"/>
    </row>
    <row r="5" spans="2:9" ht="16.5" customHeight="1" x14ac:dyDescent="0.2"/>
    <row r="6" spans="2:9" s="17" customFormat="1" ht="31.5" customHeight="1" x14ac:dyDescent="0.25">
      <c r="B6" s="272">
        <v>1</v>
      </c>
      <c r="C6" s="273" t="s">
        <v>38</v>
      </c>
      <c r="D6" s="273" t="s">
        <v>5</v>
      </c>
      <c r="E6" s="487" t="s">
        <v>31</v>
      </c>
      <c r="F6" s="487"/>
      <c r="G6" s="315" t="s">
        <v>30</v>
      </c>
      <c r="H6" s="316" t="s">
        <v>4</v>
      </c>
      <c r="I6" s="21"/>
    </row>
    <row r="7" spans="2:9" ht="20.25" customHeight="1" x14ac:dyDescent="0.2">
      <c r="B7" s="275" t="s">
        <v>9</v>
      </c>
      <c r="C7" s="128" t="s">
        <v>39</v>
      </c>
      <c r="D7" s="130" t="s">
        <v>107</v>
      </c>
      <c r="E7" s="527"/>
      <c r="F7" s="527"/>
      <c r="G7" s="107"/>
      <c r="H7" s="317">
        <f>ROUND(E7*G7,2)</f>
        <v>0</v>
      </c>
      <c r="I7" s="23"/>
    </row>
    <row r="8" spans="2:9" ht="30" x14ac:dyDescent="0.2">
      <c r="B8" s="275" t="s">
        <v>10</v>
      </c>
      <c r="C8" s="128" t="s">
        <v>40</v>
      </c>
      <c r="D8" s="130" t="s">
        <v>41</v>
      </c>
      <c r="E8" s="140"/>
      <c r="F8" s="140"/>
      <c r="G8" s="107"/>
      <c r="H8" s="317">
        <f>ROUND(E8*G8*F8,2)</f>
        <v>0</v>
      </c>
      <c r="I8" s="23"/>
    </row>
    <row r="9" spans="2:9" ht="15" x14ac:dyDescent="0.2">
      <c r="B9" s="275" t="s">
        <v>0</v>
      </c>
      <c r="C9" s="128" t="s">
        <v>192</v>
      </c>
      <c r="D9" s="130" t="s">
        <v>29</v>
      </c>
      <c r="E9" s="527"/>
      <c r="F9" s="527"/>
      <c r="G9" s="107"/>
      <c r="H9" s="317">
        <f>ROUND(E9*G9,2)</f>
        <v>0</v>
      </c>
      <c r="I9" s="23"/>
    </row>
    <row r="10" spans="2:9" ht="15.75" x14ac:dyDescent="0.25">
      <c r="B10" s="343"/>
      <c r="C10" s="520" t="s">
        <v>32</v>
      </c>
      <c r="D10" s="520"/>
      <c r="E10" s="520"/>
      <c r="F10" s="520"/>
      <c r="G10" s="520"/>
      <c r="H10" s="344">
        <f>SUM(H7:H9)</f>
        <v>0</v>
      </c>
    </row>
    <row r="11" spans="2:9" ht="16.5" customHeight="1" x14ac:dyDescent="0.2">
      <c r="B11" s="92"/>
      <c r="C11" s="91"/>
      <c r="D11" s="91"/>
      <c r="E11" s="92"/>
      <c r="F11" s="92"/>
      <c r="G11" s="91"/>
      <c r="H11" s="91"/>
    </row>
    <row r="12" spans="2:9" ht="23.25" customHeight="1" x14ac:dyDescent="0.2">
      <c r="B12" s="511" t="s">
        <v>189</v>
      </c>
      <c r="C12" s="512"/>
      <c r="D12" s="512"/>
      <c r="E12" s="512"/>
      <c r="F12" s="512"/>
      <c r="G12" s="512"/>
      <c r="H12" s="330">
        <f>H10</f>
        <v>0</v>
      </c>
    </row>
    <row r="13" spans="2:9" ht="16.5" customHeight="1" x14ac:dyDescent="0.2"/>
  </sheetData>
  <mergeCells count="8">
    <mergeCell ref="B12:G12"/>
    <mergeCell ref="B2:H2"/>
    <mergeCell ref="E6:F6"/>
    <mergeCell ref="E7:F7"/>
    <mergeCell ref="E9:F9"/>
    <mergeCell ref="B3:H3"/>
    <mergeCell ref="B4:H4"/>
    <mergeCell ref="C10:G10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topLeftCell="A10" zoomScaleNormal="100" zoomScaleSheetLayoutView="100" workbookViewId="0">
      <selection activeCell="G29" sqref="G29"/>
    </sheetView>
  </sheetViews>
  <sheetFormatPr defaultRowHeight="16.5" x14ac:dyDescent="0.3"/>
  <cols>
    <col min="1" max="1" width="8.7109375" style="2" customWidth="1"/>
    <col min="2" max="2" width="65.42578125" style="1" customWidth="1"/>
    <col min="3" max="3" width="12.42578125" style="2" customWidth="1"/>
    <col min="4" max="4" width="15.85546875" style="2" customWidth="1"/>
    <col min="5" max="5" width="13.140625" style="43" customWidth="1"/>
    <col min="6" max="6" width="18.140625" style="1" customWidth="1"/>
    <col min="7" max="7" width="28.42578125" style="1" customWidth="1"/>
    <col min="8" max="8" width="32" style="1" customWidth="1"/>
    <col min="9" max="9" width="8.7109375" style="1" customWidth="1"/>
    <col min="10" max="10" width="12.7109375" style="1" customWidth="1"/>
    <col min="11" max="16384" width="9.140625" style="1"/>
  </cols>
  <sheetData>
    <row r="1" spans="1:9" ht="16.5" customHeight="1" x14ac:dyDescent="0.3">
      <c r="A1" s="43"/>
      <c r="C1" s="43"/>
      <c r="D1" s="43"/>
    </row>
    <row r="2" spans="1:9" x14ac:dyDescent="0.3">
      <c r="A2" s="11"/>
      <c r="B2" s="497" t="str">
        <f>CONCATENATE("Produto A - ",'Dados Gerais do Município'!$D$8)</f>
        <v>Produto A - Exemplo</v>
      </c>
      <c r="C2" s="498"/>
      <c r="D2" s="498"/>
      <c r="E2" s="498"/>
      <c r="F2" s="498"/>
      <c r="G2" s="498"/>
      <c r="H2" s="499"/>
    </row>
    <row r="3" spans="1:9" x14ac:dyDescent="0.3">
      <c r="A3" s="11"/>
      <c r="B3" s="534"/>
      <c r="C3" s="535"/>
      <c r="D3" s="535"/>
      <c r="E3" s="535"/>
      <c r="F3" s="535"/>
      <c r="G3" s="535"/>
      <c r="H3" s="536"/>
    </row>
    <row r="4" spans="1:9" x14ac:dyDescent="0.3">
      <c r="A4" s="11"/>
      <c r="B4" s="534"/>
      <c r="C4" s="535"/>
      <c r="D4" s="535"/>
      <c r="E4" s="535"/>
      <c r="F4" s="535"/>
      <c r="G4" s="535"/>
      <c r="H4" s="536"/>
    </row>
    <row r="5" spans="1:9" ht="24.75" customHeight="1" x14ac:dyDescent="0.3">
      <c r="A5" s="43"/>
      <c r="B5" s="537" t="s">
        <v>231</v>
      </c>
      <c r="C5" s="538"/>
      <c r="D5" s="538"/>
      <c r="E5" s="538"/>
      <c r="F5" s="538"/>
      <c r="G5" s="538"/>
      <c r="H5" s="539"/>
    </row>
    <row r="6" spans="1:9" ht="21.75" customHeight="1" x14ac:dyDescent="0.3">
      <c r="A6" s="11"/>
      <c r="B6" s="540"/>
      <c r="C6" s="541"/>
      <c r="D6" s="541"/>
      <c r="E6" s="541"/>
      <c r="F6" s="541"/>
      <c r="G6" s="541"/>
      <c r="H6" s="542"/>
    </row>
    <row r="7" spans="1:9" ht="16.5" customHeight="1" x14ac:dyDescent="0.3">
      <c r="A7" s="11"/>
      <c r="C7" s="34"/>
      <c r="D7" s="34"/>
      <c r="E7" s="34"/>
      <c r="F7" s="36"/>
      <c r="G7" s="36"/>
    </row>
    <row r="8" spans="1:9" x14ac:dyDescent="0.3">
      <c r="A8" s="11"/>
      <c r="B8" s="272" t="s">
        <v>62</v>
      </c>
      <c r="C8" s="273" t="s">
        <v>5</v>
      </c>
      <c r="D8" s="273" t="s">
        <v>16</v>
      </c>
      <c r="E8" s="273" t="s">
        <v>59</v>
      </c>
      <c r="F8" s="273" t="s">
        <v>36</v>
      </c>
      <c r="G8" s="273" t="s">
        <v>4</v>
      </c>
      <c r="H8" s="274" t="s">
        <v>37</v>
      </c>
      <c r="I8" s="12"/>
    </row>
    <row r="9" spans="1:9" x14ac:dyDescent="0.3">
      <c r="A9" s="5"/>
      <c r="B9" s="350" t="s">
        <v>26</v>
      </c>
      <c r="C9" s="143" t="s">
        <v>6</v>
      </c>
      <c r="D9" s="143">
        <f>'Distribuição Custos FIXOS'!$M$7</f>
        <v>1</v>
      </c>
      <c r="E9" s="144">
        <f>'Distribuição Custos FIXOS'!N7</f>
        <v>0.125</v>
      </c>
      <c r="F9" s="145">
        <f>IF('Distribuição Custos FIXOS'!D19="SINAPI",'Equipe Técnica Permanente'!H11,'Equipe Técnica Permanente'!I11)</f>
        <v>0</v>
      </c>
      <c r="G9" s="146">
        <f>D9*E9*F9</f>
        <v>0</v>
      </c>
      <c r="H9" s="351"/>
      <c r="I9" s="14"/>
    </row>
    <row r="10" spans="1:9" x14ac:dyDescent="0.3">
      <c r="A10" s="5"/>
      <c r="B10" s="350" t="s">
        <v>27</v>
      </c>
      <c r="C10" s="143" t="s">
        <v>6</v>
      </c>
      <c r="D10" s="143">
        <f>'Distribuição Custos FIXOS'!$M$7</f>
        <v>1</v>
      </c>
      <c r="E10" s="144">
        <f>E9</f>
        <v>0.125</v>
      </c>
      <c r="F10" s="145">
        <f>IF('Distribuição Custos FIXOS'!D19="SINAPI",'Equipe Técnica Permanente'!H18,'Equipe Técnica Permanente'!I18)</f>
        <v>0</v>
      </c>
      <c r="G10" s="146">
        <f>D10*E10*F10</f>
        <v>0</v>
      </c>
      <c r="H10" s="351"/>
      <c r="I10" s="14"/>
    </row>
    <row r="11" spans="1:9" x14ac:dyDescent="0.3">
      <c r="A11" s="5"/>
      <c r="B11" s="350" t="s">
        <v>105</v>
      </c>
      <c r="C11" s="141" t="s">
        <v>6</v>
      </c>
      <c r="D11" s="143">
        <f>'Distribuição Custos FIXOS'!$M$7</f>
        <v>1</v>
      </c>
      <c r="E11" s="144">
        <f>E9</f>
        <v>0.125</v>
      </c>
      <c r="F11" s="145">
        <f>'Estrutura de apoio'!G15</f>
        <v>0</v>
      </c>
      <c r="G11" s="146">
        <f>D11*E11*F11</f>
        <v>0</v>
      </c>
      <c r="H11" s="351"/>
      <c r="I11" s="14"/>
    </row>
    <row r="12" spans="1:9" s="29" customFormat="1" x14ac:dyDescent="0.3">
      <c r="A12" s="33"/>
      <c r="B12" s="346" t="s">
        <v>63</v>
      </c>
      <c r="C12" s="242" t="s">
        <v>5</v>
      </c>
      <c r="D12" s="242" t="s">
        <v>16</v>
      </c>
      <c r="E12" s="242" t="s">
        <v>59</v>
      </c>
      <c r="F12" s="242" t="s">
        <v>36</v>
      </c>
      <c r="G12" s="242" t="s">
        <v>4</v>
      </c>
      <c r="H12" s="347" t="s">
        <v>37</v>
      </c>
      <c r="I12" s="14"/>
    </row>
    <row r="13" spans="1:9" s="29" customFormat="1" x14ac:dyDescent="0.3">
      <c r="A13" s="33"/>
      <c r="B13" s="350" t="s">
        <v>160</v>
      </c>
      <c r="C13" s="141" t="s">
        <v>7</v>
      </c>
      <c r="D13" s="109"/>
      <c r="E13" s="147">
        <v>1</v>
      </c>
      <c r="F13" s="107">
        <f>'Mobil. e Participação Social'!$H$21</f>
        <v>0</v>
      </c>
      <c r="G13" s="107">
        <f>D13*E13*F13</f>
        <v>0</v>
      </c>
      <c r="H13" s="351"/>
      <c r="I13" s="33"/>
    </row>
    <row r="14" spans="1:9" s="29" customFormat="1" x14ac:dyDescent="0.3">
      <c r="A14" s="33"/>
      <c r="B14" s="350" t="s">
        <v>42</v>
      </c>
      <c r="C14" s="148" t="s">
        <v>7</v>
      </c>
      <c r="D14" s="109"/>
      <c r="E14" s="147">
        <v>1</v>
      </c>
      <c r="F14" s="149">
        <f>'Deslocamento Terrestre'!$H$13</f>
        <v>0</v>
      </c>
      <c r="G14" s="107">
        <f>D14*E14*F14</f>
        <v>0</v>
      </c>
      <c r="H14" s="352"/>
      <c r="I14" s="33"/>
    </row>
    <row r="15" spans="1:9" s="29" customFormat="1" x14ac:dyDescent="0.3">
      <c r="A15" s="33"/>
      <c r="B15" s="350" t="s">
        <v>191</v>
      </c>
      <c r="C15" s="148" t="s">
        <v>7</v>
      </c>
      <c r="D15" s="109"/>
      <c r="E15" s="147">
        <v>1</v>
      </c>
      <c r="F15" s="149">
        <f>'Deslocamento Hidroviário'!$H$12</f>
        <v>0</v>
      </c>
      <c r="G15" s="107">
        <f>D15*E15*F15</f>
        <v>0</v>
      </c>
      <c r="H15" s="352"/>
      <c r="I15" s="33"/>
    </row>
    <row r="16" spans="1:9" s="29" customFormat="1" x14ac:dyDescent="0.3">
      <c r="A16" s="33"/>
      <c r="B16" s="350" t="s">
        <v>306</v>
      </c>
      <c r="C16" s="148" t="s">
        <v>7</v>
      </c>
      <c r="D16" s="148"/>
      <c r="E16" s="147">
        <v>1</v>
      </c>
      <c r="F16" s="149">
        <f>'Audiência Municipal'!$G$21</f>
        <v>0</v>
      </c>
      <c r="G16" s="107">
        <f>D16*E16*F16</f>
        <v>0</v>
      </c>
      <c r="H16" s="353"/>
      <c r="I16" s="33"/>
    </row>
    <row r="17" spans="1:9" s="29" customFormat="1" x14ac:dyDescent="0.3">
      <c r="A17" s="33"/>
      <c r="B17" s="346" t="s">
        <v>109</v>
      </c>
      <c r="C17" s="242" t="s">
        <v>5</v>
      </c>
      <c r="D17" s="242" t="s">
        <v>16</v>
      </c>
      <c r="E17" s="242" t="s">
        <v>59</v>
      </c>
      <c r="F17" s="242" t="s">
        <v>36</v>
      </c>
      <c r="G17" s="242" t="s">
        <v>4</v>
      </c>
      <c r="H17" s="347" t="s">
        <v>37</v>
      </c>
      <c r="I17" s="33"/>
    </row>
    <row r="18" spans="1:9" s="29" customFormat="1" x14ac:dyDescent="0.3">
      <c r="A18" s="33"/>
      <c r="B18" s="350" t="s">
        <v>110</v>
      </c>
      <c r="C18" s="148" t="s">
        <v>7</v>
      </c>
      <c r="D18" s="148"/>
      <c r="E18" s="147">
        <v>1</v>
      </c>
      <c r="F18" s="149"/>
      <c r="G18" s="107">
        <f>D18*E18*F18</f>
        <v>0</v>
      </c>
      <c r="H18" s="351"/>
      <c r="I18" s="33"/>
    </row>
    <row r="19" spans="1:9" s="29" customFormat="1" x14ac:dyDescent="0.3">
      <c r="A19" s="33"/>
      <c r="B19" s="350" t="s">
        <v>111</v>
      </c>
      <c r="C19" s="148" t="s">
        <v>7</v>
      </c>
      <c r="D19" s="148"/>
      <c r="E19" s="147">
        <v>1</v>
      </c>
      <c r="F19" s="149"/>
      <c r="G19" s="107">
        <f>D19*E19*F19</f>
        <v>0</v>
      </c>
      <c r="H19" s="351"/>
      <c r="I19" s="33"/>
    </row>
    <row r="20" spans="1:9" s="29" customFormat="1" ht="30" x14ac:dyDescent="0.3">
      <c r="A20" s="33"/>
      <c r="B20" s="350" t="s">
        <v>33</v>
      </c>
      <c r="C20" s="148" t="s">
        <v>7</v>
      </c>
      <c r="D20" s="148"/>
      <c r="E20" s="147">
        <v>1</v>
      </c>
      <c r="F20" s="149"/>
      <c r="G20" s="107">
        <f>D20*E20*F20</f>
        <v>0</v>
      </c>
      <c r="H20" s="351"/>
      <c r="I20" s="33"/>
    </row>
    <row r="21" spans="1:9" s="29" customFormat="1" x14ac:dyDescent="0.3">
      <c r="A21" s="33"/>
      <c r="B21" s="350"/>
      <c r="C21" s="148"/>
      <c r="D21" s="148"/>
      <c r="E21" s="147"/>
      <c r="F21" s="149"/>
      <c r="G21" s="107"/>
      <c r="H21" s="351"/>
      <c r="I21" s="33"/>
    </row>
    <row r="22" spans="1:9" x14ac:dyDescent="0.3">
      <c r="A22" s="5"/>
      <c r="B22" s="346" t="s">
        <v>64</v>
      </c>
      <c r="C22" s="242" t="s">
        <v>5</v>
      </c>
      <c r="D22" s="242" t="s">
        <v>16</v>
      </c>
      <c r="E22" s="242" t="s">
        <v>59</v>
      </c>
      <c r="F22" s="242" t="s">
        <v>36</v>
      </c>
      <c r="G22" s="242" t="s">
        <v>4</v>
      </c>
      <c r="H22" s="347" t="s">
        <v>37</v>
      </c>
      <c r="I22" s="6"/>
    </row>
    <row r="23" spans="1:9" x14ac:dyDescent="0.3">
      <c r="A23" s="5"/>
      <c r="B23" s="354" t="s">
        <v>336</v>
      </c>
      <c r="C23" s="141"/>
      <c r="D23" s="109"/>
      <c r="E23" s="147">
        <v>1</v>
      </c>
      <c r="F23" s="149"/>
      <c r="G23" s="107">
        <f t="shared" ref="G23:G26" si="0">D23*E23*F23</f>
        <v>0</v>
      </c>
      <c r="H23" s="351"/>
      <c r="I23" s="6"/>
    </row>
    <row r="24" spans="1:9" x14ac:dyDescent="0.3">
      <c r="A24" s="5"/>
      <c r="B24" s="355"/>
      <c r="C24" s="141"/>
      <c r="D24" s="109"/>
      <c r="E24" s="147">
        <v>1</v>
      </c>
      <c r="F24" s="149"/>
      <c r="G24" s="107">
        <f t="shared" si="0"/>
        <v>0</v>
      </c>
      <c r="H24" s="351"/>
      <c r="I24" s="6"/>
    </row>
    <row r="25" spans="1:9" x14ac:dyDescent="0.3">
      <c r="A25" s="5"/>
      <c r="B25" s="355"/>
      <c r="C25" s="141"/>
      <c r="D25" s="109"/>
      <c r="E25" s="147">
        <v>1</v>
      </c>
      <c r="F25" s="149"/>
      <c r="G25" s="107">
        <f t="shared" si="0"/>
        <v>0</v>
      </c>
      <c r="H25" s="351"/>
      <c r="I25" s="6"/>
    </row>
    <row r="26" spans="1:9" x14ac:dyDescent="0.3">
      <c r="A26" s="5"/>
      <c r="B26" s="355"/>
      <c r="C26" s="141"/>
      <c r="D26" s="109"/>
      <c r="E26" s="147">
        <v>1</v>
      </c>
      <c r="F26" s="149"/>
      <c r="G26" s="107">
        <f t="shared" si="0"/>
        <v>0</v>
      </c>
      <c r="H26" s="351"/>
      <c r="I26" s="6"/>
    </row>
    <row r="27" spans="1:9" x14ac:dyDescent="0.3">
      <c r="A27" s="5"/>
      <c r="B27" s="346" t="s">
        <v>35</v>
      </c>
      <c r="C27" s="242" t="s">
        <v>5</v>
      </c>
      <c r="D27" s="242" t="s">
        <v>16</v>
      </c>
      <c r="E27" s="242" t="s">
        <v>59</v>
      </c>
      <c r="F27" s="242" t="s">
        <v>36</v>
      </c>
      <c r="G27" s="242" t="s">
        <v>4</v>
      </c>
      <c r="H27" s="347" t="s">
        <v>37</v>
      </c>
      <c r="I27" s="6"/>
    </row>
    <row r="28" spans="1:9" x14ac:dyDescent="0.3">
      <c r="A28" s="5"/>
      <c r="B28" s="355"/>
      <c r="C28" s="150"/>
      <c r="D28" s="150"/>
      <c r="E28" s="147">
        <v>1</v>
      </c>
      <c r="F28" s="149"/>
      <c r="G28" s="107">
        <f t="shared" ref="G28:G30" si="1">D28*E28*F28</f>
        <v>0</v>
      </c>
      <c r="H28" s="356"/>
      <c r="I28" s="6"/>
    </row>
    <row r="29" spans="1:9" x14ac:dyDescent="0.3">
      <c r="A29" s="5"/>
      <c r="B29" s="355"/>
      <c r="C29" s="141"/>
      <c r="D29" s="109"/>
      <c r="E29" s="147">
        <v>1</v>
      </c>
      <c r="F29" s="149"/>
      <c r="G29" s="107">
        <f t="shared" si="1"/>
        <v>0</v>
      </c>
      <c r="H29" s="351"/>
      <c r="I29" s="6"/>
    </row>
    <row r="30" spans="1:9" x14ac:dyDescent="0.3">
      <c r="A30" s="5"/>
      <c r="B30" s="357"/>
      <c r="C30" s="358"/>
      <c r="D30" s="320"/>
      <c r="E30" s="359">
        <v>1</v>
      </c>
      <c r="F30" s="360"/>
      <c r="G30" s="322">
        <f t="shared" si="1"/>
        <v>0</v>
      </c>
      <c r="H30" s="361"/>
      <c r="I30" s="6"/>
    </row>
    <row r="31" spans="1:9" ht="32.25" customHeight="1" x14ac:dyDescent="0.3">
      <c r="B31" s="362" t="s">
        <v>60</v>
      </c>
      <c r="C31" s="363"/>
      <c r="D31" s="363"/>
      <c r="E31" s="363"/>
      <c r="F31" s="363"/>
      <c r="G31" s="364">
        <f>SUM(G13:G16)+SUM(G9:G11)+SUM(G18:G21)+SUM(G23:G26)+SUM(G28:G30)</f>
        <v>0</v>
      </c>
      <c r="H31" s="365" t="s">
        <v>37</v>
      </c>
    </row>
    <row r="32" spans="1:9" ht="16.5" customHeight="1" x14ac:dyDescent="0.3"/>
  </sheetData>
  <mergeCells count="2">
    <mergeCell ref="B2:H4"/>
    <mergeCell ref="B5:H6"/>
  </mergeCells>
  <phoneticPr fontId="8" type="noConversion"/>
  <pageMargins left="0.51181102362204722" right="0.51181102362204722" top="0.78740157480314965" bottom="0.78740157480314965" header="0.31496062992125984" footer="0.31496062992125984"/>
  <pageSetup paperSize="9" scale="45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activeCell="F30" sqref="F30"/>
    </sheetView>
  </sheetViews>
  <sheetFormatPr defaultRowHeight="16.5" x14ac:dyDescent="0.3"/>
  <cols>
    <col min="1" max="1" width="6.7109375" style="11" customWidth="1"/>
    <col min="2" max="2" width="66" style="1" customWidth="1"/>
    <col min="3" max="3" width="13.7109375" style="11" customWidth="1"/>
    <col min="4" max="4" width="15.42578125" style="11" customWidth="1"/>
    <col min="5" max="5" width="13.5703125" style="43" customWidth="1"/>
    <col min="6" max="6" width="17" style="1" customWidth="1"/>
    <col min="7" max="7" width="18" style="1" customWidth="1"/>
    <col min="8" max="8" width="33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10" x14ac:dyDescent="0.3">
      <c r="A1" s="43"/>
      <c r="C1" s="43"/>
      <c r="D1" s="43"/>
    </row>
    <row r="2" spans="1:10" ht="16.5" customHeight="1" x14ac:dyDescent="0.3">
      <c r="A2" s="43"/>
      <c r="B2" s="497" t="str">
        <f>CONCATENATE("Produto B - ",'Dados Gerais do Município'!$D$8)</f>
        <v>Produto B - Exemplo</v>
      </c>
      <c r="C2" s="498"/>
      <c r="D2" s="498"/>
      <c r="E2" s="498"/>
      <c r="F2" s="498"/>
      <c r="G2" s="498"/>
      <c r="H2" s="499"/>
    </row>
    <row r="3" spans="1:10" ht="16.5" customHeight="1" x14ac:dyDescent="0.3">
      <c r="A3" s="43"/>
      <c r="B3" s="534"/>
      <c r="C3" s="535"/>
      <c r="D3" s="535"/>
      <c r="E3" s="535"/>
      <c r="F3" s="535"/>
      <c r="G3" s="535"/>
      <c r="H3" s="536"/>
    </row>
    <row r="4" spans="1:10" ht="16.5" customHeight="1" x14ac:dyDescent="0.3">
      <c r="A4" s="43"/>
      <c r="B4" s="534"/>
      <c r="C4" s="535"/>
      <c r="D4" s="535"/>
      <c r="E4" s="535"/>
      <c r="F4" s="535"/>
      <c r="G4" s="535"/>
      <c r="H4" s="536"/>
    </row>
    <row r="5" spans="1:10" ht="16.5" customHeight="1" x14ac:dyDescent="0.3">
      <c r="A5" s="43"/>
      <c r="B5" s="537" t="s">
        <v>265</v>
      </c>
      <c r="C5" s="538"/>
      <c r="D5" s="538"/>
      <c r="E5" s="538"/>
      <c r="F5" s="538"/>
      <c r="G5" s="538"/>
      <c r="H5" s="539"/>
    </row>
    <row r="6" spans="1:10" ht="39" customHeight="1" x14ac:dyDescent="0.3">
      <c r="A6" s="43"/>
      <c r="B6" s="540"/>
      <c r="C6" s="541"/>
      <c r="D6" s="541"/>
      <c r="E6" s="541"/>
      <c r="F6" s="541"/>
      <c r="G6" s="541"/>
      <c r="H6" s="542"/>
    </row>
    <row r="7" spans="1:10" x14ac:dyDescent="0.3">
      <c r="A7" s="43"/>
      <c r="C7" s="34"/>
      <c r="D7" s="34"/>
      <c r="E7" s="34"/>
      <c r="F7" s="36"/>
      <c r="G7" s="36"/>
    </row>
    <row r="8" spans="1:10" x14ac:dyDescent="0.3">
      <c r="A8" s="43"/>
      <c r="B8" s="272" t="s">
        <v>62</v>
      </c>
      <c r="C8" s="273" t="s">
        <v>5</v>
      </c>
      <c r="D8" s="273" t="s">
        <v>16</v>
      </c>
      <c r="E8" s="273" t="s">
        <v>59</v>
      </c>
      <c r="F8" s="273" t="s">
        <v>36</v>
      </c>
      <c r="G8" s="273" t="s">
        <v>4</v>
      </c>
      <c r="H8" s="274" t="s">
        <v>37</v>
      </c>
      <c r="I8" s="14"/>
    </row>
    <row r="9" spans="1:10" x14ac:dyDescent="0.3">
      <c r="A9" s="5"/>
      <c r="B9" s="350" t="s">
        <v>26</v>
      </c>
      <c r="C9" s="143" t="s">
        <v>6</v>
      </c>
      <c r="D9" s="143">
        <f>'Distribuição Custos FIXOS'!$M$8</f>
        <v>2</v>
      </c>
      <c r="E9" s="144">
        <f>'Distribuição Custos FIXOS'!N8</f>
        <v>0.32500000000000001</v>
      </c>
      <c r="F9" s="145">
        <f>IF('Distribuição Custos FIXOS'!D19="SINAPI",'Equipe Técnica Permanente'!H11,'Equipe Técnica Permanente'!I11)</f>
        <v>0</v>
      </c>
      <c r="G9" s="146">
        <f>D9*E9*F9</f>
        <v>0</v>
      </c>
      <c r="H9" s="351"/>
      <c r="I9" s="14"/>
    </row>
    <row r="10" spans="1:10" x14ac:dyDescent="0.3">
      <c r="A10" s="5"/>
      <c r="B10" s="350" t="s">
        <v>27</v>
      </c>
      <c r="C10" s="143" t="s">
        <v>6</v>
      </c>
      <c r="D10" s="143">
        <f>'Distribuição Custos FIXOS'!$M$8</f>
        <v>2</v>
      </c>
      <c r="E10" s="144">
        <f>E9</f>
        <v>0.32500000000000001</v>
      </c>
      <c r="F10" s="145">
        <f>IF('Distribuição Custos FIXOS'!D19="SINAPI",'Equipe Técnica Permanente'!H18,'Equipe Técnica Permanente'!I18)</f>
        <v>0</v>
      </c>
      <c r="G10" s="146">
        <f>D10*E10*F10</f>
        <v>0</v>
      </c>
      <c r="H10" s="351"/>
      <c r="I10" s="14"/>
    </row>
    <row r="11" spans="1:10" s="29" customFormat="1" x14ac:dyDescent="0.3">
      <c r="A11" s="5"/>
      <c r="B11" s="350" t="s">
        <v>105</v>
      </c>
      <c r="C11" s="141" t="s">
        <v>6</v>
      </c>
      <c r="D11" s="143">
        <f>'Distribuição Custos FIXOS'!$M$8</f>
        <v>2</v>
      </c>
      <c r="E11" s="144">
        <f>E9</f>
        <v>0.32500000000000001</v>
      </c>
      <c r="F11" s="145">
        <f>'Estrutura de apoio'!G15</f>
        <v>0</v>
      </c>
      <c r="G11" s="146">
        <f>D11*E11*F11</f>
        <v>0</v>
      </c>
      <c r="H11" s="351"/>
      <c r="I11" s="14"/>
    </row>
    <row r="12" spans="1:10" s="29" customFormat="1" x14ac:dyDescent="0.3">
      <c r="A12" s="33"/>
      <c r="B12" s="346" t="s">
        <v>63</v>
      </c>
      <c r="C12" s="242" t="s">
        <v>5</v>
      </c>
      <c r="D12" s="242" t="s">
        <v>16</v>
      </c>
      <c r="E12" s="242" t="s">
        <v>59</v>
      </c>
      <c r="F12" s="242" t="s">
        <v>36</v>
      </c>
      <c r="G12" s="242" t="s">
        <v>4</v>
      </c>
      <c r="H12" s="347" t="s">
        <v>37</v>
      </c>
      <c r="I12" s="14"/>
    </row>
    <row r="13" spans="1:10" x14ac:dyDescent="0.3">
      <c r="A13" s="33"/>
      <c r="B13" s="350" t="s">
        <v>160</v>
      </c>
      <c r="C13" s="141" t="s">
        <v>7</v>
      </c>
      <c r="D13" s="109"/>
      <c r="E13" s="147">
        <v>1</v>
      </c>
      <c r="F13" s="107">
        <f>'Mobil. e Participação Social'!$H$21</f>
        <v>0</v>
      </c>
      <c r="G13" s="107">
        <f>D13*E13*F13</f>
        <v>0</v>
      </c>
      <c r="H13" s="351"/>
      <c r="I13" s="33"/>
    </row>
    <row r="14" spans="1:10" x14ac:dyDescent="0.3">
      <c r="A14" s="33"/>
      <c r="B14" s="350" t="s">
        <v>42</v>
      </c>
      <c r="C14" s="148" t="s">
        <v>7</v>
      </c>
      <c r="D14" s="109"/>
      <c r="E14" s="147">
        <v>1</v>
      </c>
      <c r="F14" s="149">
        <f>'Deslocamento Terrestre'!$H$13</f>
        <v>0</v>
      </c>
      <c r="G14" s="107">
        <f>D14*E14*F14</f>
        <v>0</v>
      </c>
      <c r="H14" s="352"/>
      <c r="I14" s="33"/>
      <c r="J14" s="17"/>
    </row>
    <row r="15" spans="1:10" x14ac:dyDescent="0.3">
      <c r="A15" s="33"/>
      <c r="B15" s="350" t="s">
        <v>191</v>
      </c>
      <c r="C15" s="148" t="s">
        <v>7</v>
      </c>
      <c r="D15" s="109"/>
      <c r="E15" s="147">
        <v>1</v>
      </c>
      <c r="F15" s="149">
        <f>'Deslocamento Hidroviário'!$H$12</f>
        <v>0</v>
      </c>
      <c r="G15" s="107">
        <f>D15*E15*F15</f>
        <v>0</v>
      </c>
      <c r="H15" s="352"/>
      <c r="I15" s="33"/>
    </row>
    <row r="16" spans="1:10" x14ac:dyDescent="0.3">
      <c r="A16" s="33"/>
      <c r="B16" s="350" t="str">
        <f>PA!B16</f>
        <v>Audiência Municipal</v>
      </c>
      <c r="C16" s="148" t="s">
        <v>7</v>
      </c>
      <c r="D16" s="148"/>
      <c r="E16" s="147">
        <v>1</v>
      </c>
      <c r="F16" s="149">
        <f>'Audiência Municipal'!$G$21</f>
        <v>0</v>
      </c>
      <c r="G16" s="107">
        <f>D16*E16*F16</f>
        <v>0</v>
      </c>
      <c r="H16" s="353"/>
      <c r="I16" s="33"/>
    </row>
    <row r="17" spans="1:9" x14ac:dyDescent="0.3">
      <c r="A17" s="33"/>
      <c r="B17" s="346" t="s">
        <v>109</v>
      </c>
      <c r="C17" s="242" t="s">
        <v>5</v>
      </c>
      <c r="D17" s="242" t="s">
        <v>16</v>
      </c>
      <c r="E17" s="242" t="s">
        <v>59</v>
      </c>
      <c r="F17" s="242" t="s">
        <v>36</v>
      </c>
      <c r="G17" s="242" t="s">
        <v>4</v>
      </c>
      <c r="H17" s="347" t="s">
        <v>37</v>
      </c>
      <c r="I17" s="33"/>
    </row>
    <row r="18" spans="1:9" x14ac:dyDescent="0.3">
      <c r="A18" s="33"/>
      <c r="B18" s="350" t="s">
        <v>110</v>
      </c>
      <c r="C18" s="148" t="s">
        <v>7</v>
      </c>
      <c r="D18" s="148"/>
      <c r="E18" s="147">
        <v>1</v>
      </c>
      <c r="F18" s="149"/>
      <c r="G18" s="107">
        <f>D18*E18*F18</f>
        <v>0</v>
      </c>
      <c r="H18" s="351"/>
      <c r="I18" s="33"/>
    </row>
    <row r="19" spans="1:9" x14ac:dyDescent="0.3">
      <c r="A19" s="33"/>
      <c r="B19" s="350" t="s">
        <v>111</v>
      </c>
      <c r="C19" s="148" t="s">
        <v>7</v>
      </c>
      <c r="D19" s="148"/>
      <c r="E19" s="147">
        <v>1</v>
      </c>
      <c r="F19" s="149"/>
      <c r="G19" s="107">
        <f>D19*E19*F19</f>
        <v>0</v>
      </c>
      <c r="H19" s="351"/>
      <c r="I19" s="33"/>
    </row>
    <row r="20" spans="1:9" ht="30" x14ac:dyDescent="0.3">
      <c r="A20" s="33"/>
      <c r="B20" s="350" t="s">
        <v>33</v>
      </c>
      <c r="C20" s="148" t="s">
        <v>7</v>
      </c>
      <c r="D20" s="148"/>
      <c r="E20" s="147">
        <v>1</v>
      </c>
      <c r="F20" s="149"/>
      <c r="G20" s="107">
        <f>D20*E20*F20</f>
        <v>0</v>
      </c>
      <c r="H20" s="351"/>
      <c r="I20" s="33"/>
    </row>
    <row r="21" spans="1:9" x14ac:dyDescent="0.3">
      <c r="A21" s="33"/>
      <c r="B21" s="350"/>
      <c r="C21" s="148"/>
      <c r="D21" s="148"/>
      <c r="E21" s="147"/>
      <c r="F21" s="149"/>
      <c r="G21" s="107"/>
      <c r="H21" s="351"/>
      <c r="I21" s="33"/>
    </row>
    <row r="22" spans="1:9" x14ac:dyDescent="0.3">
      <c r="A22" s="5"/>
      <c r="B22" s="346" t="s">
        <v>64</v>
      </c>
      <c r="C22" s="242" t="s">
        <v>5</v>
      </c>
      <c r="D22" s="242" t="s">
        <v>16</v>
      </c>
      <c r="E22" s="242" t="s">
        <v>59</v>
      </c>
      <c r="F22" s="242" t="s">
        <v>36</v>
      </c>
      <c r="G22" s="242" t="s">
        <v>4</v>
      </c>
      <c r="H22" s="347" t="s">
        <v>37</v>
      </c>
      <c r="I22" s="6"/>
    </row>
    <row r="23" spans="1:9" x14ac:dyDescent="0.3">
      <c r="A23" s="5"/>
      <c r="B23" s="354"/>
      <c r="C23" s="141"/>
      <c r="D23" s="109"/>
      <c r="E23" s="147">
        <v>1</v>
      </c>
      <c r="F23" s="149"/>
      <c r="G23" s="107">
        <f t="shared" ref="G23:G26" si="0">D23*E23*F23</f>
        <v>0</v>
      </c>
      <c r="H23" s="351"/>
      <c r="I23" s="6"/>
    </row>
    <row r="24" spans="1:9" x14ac:dyDescent="0.3">
      <c r="A24" s="5"/>
      <c r="B24" s="355"/>
      <c r="C24" s="141"/>
      <c r="D24" s="109"/>
      <c r="E24" s="147">
        <v>1</v>
      </c>
      <c r="F24" s="149"/>
      <c r="G24" s="107">
        <f t="shared" si="0"/>
        <v>0</v>
      </c>
      <c r="H24" s="351"/>
      <c r="I24" s="6"/>
    </row>
    <row r="25" spans="1:9" x14ac:dyDescent="0.3">
      <c r="A25" s="5"/>
      <c r="B25" s="355"/>
      <c r="C25" s="141"/>
      <c r="D25" s="109"/>
      <c r="E25" s="147">
        <v>1</v>
      </c>
      <c r="F25" s="149"/>
      <c r="G25" s="107">
        <f t="shared" si="0"/>
        <v>0</v>
      </c>
      <c r="H25" s="351"/>
      <c r="I25" s="6"/>
    </row>
    <row r="26" spans="1:9" x14ac:dyDescent="0.3">
      <c r="A26" s="5"/>
      <c r="B26" s="355"/>
      <c r="C26" s="141"/>
      <c r="D26" s="109"/>
      <c r="E26" s="147">
        <v>1</v>
      </c>
      <c r="F26" s="149"/>
      <c r="G26" s="107">
        <f t="shared" si="0"/>
        <v>0</v>
      </c>
      <c r="H26" s="351"/>
      <c r="I26" s="6"/>
    </row>
    <row r="27" spans="1:9" x14ac:dyDescent="0.3">
      <c r="A27" s="5"/>
      <c r="B27" s="346" t="s">
        <v>35</v>
      </c>
      <c r="C27" s="242" t="s">
        <v>5</v>
      </c>
      <c r="D27" s="242" t="s">
        <v>16</v>
      </c>
      <c r="E27" s="242" t="s">
        <v>59</v>
      </c>
      <c r="F27" s="242" t="s">
        <v>36</v>
      </c>
      <c r="G27" s="242" t="s">
        <v>4</v>
      </c>
      <c r="H27" s="347" t="s">
        <v>37</v>
      </c>
      <c r="I27" s="6"/>
    </row>
    <row r="28" spans="1:9" x14ac:dyDescent="0.3">
      <c r="A28" s="5"/>
      <c r="B28" s="355"/>
      <c r="C28" s="150"/>
      <c r="D28" s="150"/>
      <c r="E28" s="147">
        <v>1</v>
      </c>
      <c r="F28" s="149"/>
      <c r="G28" s="107">
        <f t="shared" ref="G28:G30" si="1">D28*E28*F28</f>
        <v>0</v>
      </c>
      <c r="H28" s="356"/>
      <c r="I28" s="6"/>
    </row>
    <row r="29" spans="1:9" x14ac:dyDescent="0.3">
      <c r="A29" s="5"/>
      <c r="B29" s="355"/>
      <c r="C29" s="141"/>
      <c r="D29" s="109"/>
      <c r="E29" s="147">
        <v>1</v>
      </c>
      <c r="F29" s="149"/>
      <c r="G29" s="107">
        <f t="shared" si="1"/>
        <v>0</v>
      </c>
      <c r="H29" s="351"/>
      <c r="I29" s="6"/>
    </row>
    <row r="30" spans="1:9" x14ac:dyDescent="0.3">
      <c r="A30" s="5"/>
      <c r="B30" s="357"/>
      <c r="C30" s="358"/>
      <c r="D30" s="320"/>
      <c r="E30" s="359">
        <v>1</v>
      </c>
      <c r="F30" s="360"/>
      <c r="G30" s="322">
        <f t="shared" si="1"/>
        <v>0</v>
      </c>
      <c r="H30" s="361"/>
      <c r="I30" s="6"/>
    </row>
    <row r="31" spans="1:9" ht="33" customHeight="1" x14ac:dyDescent="0.3">
      <c r="A31" s="43"/>
      <c r="B31" s="362" t="s">
        <v>61</v>
      </c>
      <c r="C31" s="363"/>
      <c r="D31" s="363"/>
      <c r="E31" s="363"/>
      <c r="F31" s="363"/>
      <c r="G31" s="364">
        <f>SUM(G13:G16)+SUM(G9:G11)+SUM(G18:G21)+SUM(G23:G26)+SUM(G28:G30)</f>
        <v>0</v>
      </c>
      <c r="H31" s="365" t="s">
        <v>37</v>
      </c>
    </row>
    <row r="32" spans="1:9" x14ac:dyDescent="0.3">
      <c r="A32" s="43"/>
      <c r="C32" s="43"/>
      <c r="D32" s="43"/>
    </row>
    <row r="33" spans="7:7" x14ac:dyDescent="0.3">
      <c r="G33" s="49"/>
    </row>
  </sheetData>
  <mergeCells count="2">
    <mergeCell ref="B2:H4"/>
    <mergeCell ref="B5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0" workbookViewId="0">
      <selection activeCell="F13" sqref="F13"/>
    </sheetView>
  </sheetViews>
  <sheetFormatPr defaultRowHeight="16.5" x14ac:dyDescent="0.3"/>
  <cols>
    <col min="1" max="1" width="6.7109375" style="11" customWidth="1"/>
    <col min="2" max="2" width="66" style="1" customWidth="1"/>
    <col min="3" max="3" width="13.28515625" style="11" customWidth="1"/>
    <col min="4" max="4" width="15.7109375" style="11" customWidth="1"/>
    <col min="5" max="5" width="15.5703125" style="43" customWidth="1"/>
    <col min="6" max="6" width="19.28515625" style="1" customWidth="1"/>
    <col min="7" max="7" width="21.28515625" style="1" customWidth="1"/>
    <col min="8" max="8" width="32.28515625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10" x14ac:dyDescent="0.3">
      <c r="A1" s="43"/>
      <c r="C1" s="43"/>
      <c r="D1" s="43"/>
    </row>
    <row r="2" spans="1:10" ht="16.5" customHeight="1" x14ac:dyDescent="0.3">
      <c r="A2" s="43"/>
      <c r="B2" s="497" t="str">
        <f>CONCATENATE("Produto C - ",'Dados Gerais do Município'!$D$8)</f>
        <v>Produto C - Exemplo</v>
      </c>
      <c r="C2" s="498"/>
      <c r="D2" s="498"/>
      <c r="E2" s="498"/>
      <c r="F2" s="498"/>
      <c r="G2" s="498"/>
      <c r="H2" s="499"/>
    </row>
    <row r="3" spans="1:10" ht="16.5" customHeight="1" x14ac:dyDescent="0.3">
      <c r="A3" s="43"/>
      <c r="B3" s="534"/>
      <c r="C3" s="535"/>
      <c r="D3" s="535"/>
      <c r="E3" s="535"/>
      <c r="F3" s="535"/>
      <c r="G3" s="535"/>
      <c r="H3" s="536"/>
    </row>
    <row r="4" spans="1:10" ht="16.5" customHeight="1" x14ac:dyDescent="0.3">
      <c r="A4" s="43"/>
      <c r="B4" s="534"/>
      <c r="C4" s="535"/>
      <c r="D4" s="535"/>
      <c r="E4" s="535"/>
      <c r="F4" s="535"/>
      <c r="G4" s="535"/>
      <c r="H4" s="536"/>
    </row>
    <row r="5" spans="1:10" ht="16.5" customHeight="1" x14ac:dyDescent="0.3">
      <c r="A5" s="43"/>
      <c r="B5" s="537" t="s">
        <v>337</v>
      </c>
      <c r="C5" s="538"/>
      <c r="D5" s="538"/>
      <c r="E5" s="538"/>
      <c r="F5" s="538"/>
      <c r="G5" s="538"/>
      <c r="H5" s="539"/>
    </row>
    <row r="6" spans="1:10" x14ac:dyDescent="0.3">
      <c r="A6" s="43"/>
      <c r="B6" s="540"/>
      <c r="C6" s="541"/>
      <c r="D6" s="541"/>
      <c r="E6" s="541"/>
      <c r="F6" s="541"/>
      <c r="G6" s="541"/>
      <c r="H6" s="542"/>
    </row>
    <row r="7" spans="1:10" ht="22.5" customHeight="1" x14ac:dyDescent="0.3">
      <c r="A7" s="43"/>
      <c r="C7" s="34"/>
      <c r="D7" s="34"/>
      <c r="E7" s="34"/>
      <c r="F7" s="36"/>
      <c r="G7" s="36"/>
    </row>
    <row r="8" spans="1:10" x14ac:dyDescent="0.3">
      <c r="A8" s="43"/>
      <c r="B8" s="272" t="s">
        <v>62</v>
      </c>
      <c r="C8" s="273" t="s">
        <v>5</v>
      </c>
      <c r="D8" s="273" t="s">
        <v>16</v>
      </c>
      <c r="E8" s="273" t="s">
        <v>59</v>
      </c>
      <c r="F8" s="273" t="s">
        <v>36</v>
      </c>
      <c r="G8" s="273" t="s">
        <v>4</v>
      </c>
      <c r="H8" s="274" t="s">
        <v>37</v>
      </c>
      <c r="I8" s="14"/>
    </row>
    <row r="9" spans="1:10" x14ac:dyDescent="0.3">
      <c r="A9" s="5"/>
      <c r="B9" s="350" t="s">
        <v>26</v>
      </c>
      <c r="C9" s="143" t="s">
        <v>6</v>
      </c>
      <c r="D9" s="143">
        <f>'Distribuição Custos FIXOS'!$M$9</f>
        <v>4</v>
      </c>
      <c r="E9" s="144">
        <f>'Distribuição Custos FIXOS'!N9</f>
        <v>0.66249999999999998</v>
      </c>
      <c r="F9" s="145">
        <f>IF('Distribuição Custos FIXOS'!D19="SINAPI",'Equipe Técnica Permanente'!H11,'Equipe Técnica Permanente'!I11)</f>
        <v>0</v>
      </c>
      <c r="G9" s="146">
        <f>D9*E9*F9</f>
        <v>0</v>
      </c>
      <c r="H9" s="351"/>
      <c r="I9" s="14"/>
    </row>
    <row r="10" spans="1:10" x14ac:dyDescent="0.3">
      <c r="A10" s="5"/>
      <c r="B10" s="350" t="s">
        <v>27</v>
      </c>
      <c r="C10" s="143" t="s">
        <v>6</v>
      </c>
      <c r="D10" s="143">
        <f>'Distribuição Custos FIXOS'!$M$9</f>
        <v>4</v>
      </c>
      <c r="E10" s="144">
        <f>E9</f>
        <v>0.66249999999999998</v>
      </c>
      <c r="F10" s="145">
        <f>IF('Distribuição Custos FIXOS'!D19="SINAPI",'Equipe Técnica Permanente'!H18,'Equipe Técnica Permanente'!I18)</f>
        <v>0</v>
      </c>
      <c r="G10" s="146">
        <f>D10*E10*F10</f>
        <v>0</v>
      </c>
      <c r="H10" s="351"/>
      <c r="I10" s="14"/>
    </row>
    <row r="11" spans="1:10" x14ac:dyDescent="0.3">
      <c r="A11" s="5"/>
      <c r="B11" s="350" t="s">
        <v>105</v>
      </c>
      <c r="C11" s="141" t="s">
        <v>6</v>
      </c>
      <c r="D11" s="143">
        <f>'Distribuição Custos FIXOS'!$M$9</f>
        <v>4</v>
      </c>
      <c r="E11" s="144">
        <f>E9</f>
        <v>0.66249999999999998</v>
      </c>
      <c r="F11" s="145">
        <f>'Estrutura de apoio'!G15</f>
        <v>0</v>
      </c>
      <c r="G11" s="146">
        <f>D11*E11*F11</f>
        <v>0</v>
      </c>
      <c r="H11" s="351"/>
      <c r="I11" s="14"/>
    </row>
    <row r="12" spans="1:10" s="29" customFormat="1" x14ac:dyDescent="0.3">
      <c r="A12" s="33"/>
      <c r="B12" s="346" t="s">
        <v>63</v>
      </c>
      <c r="C12" s="242" t="s">
        <v>5</v>
      </c>
      <c r="D12" s="242" t="s">
        <v>16</v>
      </c>
      <c r="E12" s="242" t="s">
        <v>59</v>
      </c>
      <c r="F12" s="242" t="s">
        <v>36</v>
      </c>
      <c r="G12" s="242" t="s">
        <v>4</v>
      </c>
      <c r="H12" s="347" t="s">
        <v>37</v>
      </c>
      <c r="I12" s="14"/>
    </row>
    <row r="13" spans="1:10" s="29" customFormat="1" x14ac:dyDescent="0.3">
      <c r="A13" s="33"/>
      <c r="B13" s="350" t="s">
        <v>160</v>
      </c>
      <c r="C13" s="141" t="s">
        <v>7</v>
      </c>
      <c r="D13" s="109"/>
      <c r="E13" s="147">
        <v>1</v>
      </c>
      <c r="F13" s="107">
        <f>'Mobil. e Participação Social'!$H$21</f>
        <v>0</v>
      </c>
      <c r="G13" s="107">
        <f>D13*E13*F13</f>
        <v>0</v>
      </c>
      <c r="H13" s="351"/>
      <c r="I13" s="33"/>
    </row>
    <row r="14" spans="1:10" s="29" customFormat="1" x14ac:dyDescent="0.3">
      <c r="A14" s="33"/>
      <c r="B14" s="350" t="s">
        <v>42</v>
      </c>
      <c r="C14" s="148" t="s">
        <v>7</v>
      </c>
      <c r="D14" s="109"/>
      <c r="E14" s="147">
        <v>1</v>
      </c>
      <c r="F14" s="149">
        <f>'Deslocamento Terrestre'!$H$13</f>
        <v>0</v>
      </c>
      <c r="G14" s="107">
        <f>D14*E14*F14</f>
        <v>0</v>
      </c>
      <c r="H14" s="352"/>
      <c r="I14" s="33"/>
      <c r="J14" s="17"/>
    </row>
    <row r="15" spans="1:10" s="29" customFormat="1" x14ac:dyDescent="0.3">
      <c r="A15" s="33"/>
      <c r="B15" s="350" t="s">
        <v>191</v>
      </c>
      <c r="C15" s="148" t="s">
        <v>7</v>
      </c>
      <c r="D15" s="109"/>
      <c r="E15" s="147">
        <v>1</v>
      </c>
      <c r="F15" s="149">
        <f>'Deslocamento Hidroviário'!$H$12</f>
        <v>0</v>
      </c>
      <c r="G15" s="107">
        <f>D15*E15*F15</f>
        <v>0</v>
      </c>
      <c r="H15" s="352"/>
      <c r="I15" s="33"/>
    </row>
    <row r="16" spans="1:10" s="29" customFormat="1" x14ac:dyDescent="0.3">
      <c r="A16" s="33"/>
      <c r="B16" s="350" t="str">
        <f>PA!B16</f>
        <v>Audiência Municipal</v>
      </c>
      <c r="C16" s="148" t="s">
        <v>7</v>
      </c>
      <c r="D16" s="148"/>
      <c r="E16" s="147">
        <v>1</v>
      </c>
      <c r="F16" s="149">
        <f>'Audiência Municipal'!$G$21</f>
        <v>0</v>
      </c>
      <c r="G16" s="107">
        <f>D16*E16*F16</f>
        <v>0</v>
      </c>
      <c r="H16" s="353"/>
      <c r="I16" s="33"/>
    </row>
    <row r="17" spans="1:9" s="29" customFormat="1" x14ac:dyDescent="0.3">
      <c r="A17" s="33"/>
      <c r="B17" s="346" t="s">
        <v>109</v>
      </c>
      <c r="C17" s="242" t="s">
        <v>5</v>
      </c>
      <c r="D17" s="242" t="s">
        <v>16</v>
      </c>
      <c r="E17" s="242" t="s">
        <v>59</v>
      </c>
      <c r="F17" s="242" t="s">
        <v>36</v>
      </c>
      <c r="G17" s="242" t="s">
        <v>4</v>
      </c>
      <c r="H17" s="347" t="s">
        <v>37</v>
      </c>
      <c r="I17" s="33"/>
    </row>
    <row r="18" spans="1:9" s="29" customFormat="1" x14ac:dyDescent="0.3">
      <c r="A18" s="33"/>
      <c r="B18" s="350" t="s">
        <v>110</v>
      </c>
      <c r="C18" s="148" t="s">
        <v>7</v>
      </c>
      <c r="D18" s="148"/>
      <c r="E18" s="147">
        <v>1</v>
      </c>
      <c r="F18" s="149"/>
      <c r="G18" s="107">
        <f>D18*E18*F18</f>
        <v>0</v>
      </c>
      <c r="H18" s="351"/>
      <c r="I18" s="33"/>
    </row>
    <row r="19" spans="1:9" s="29" customFormat="1" x14ac:dyDescent="0.3">
      <c r="A19" s="33"/>
      <c r="B19" s="350" t="s">
        <v>111</v>
      </c>
      <c r="C19" s="148" t="s">
        <v>7</v>
      </c>
      <c r="D19" s="148"/>
      <c r="E19" s="147">
        <v>1</v>
      </c>
      <c r="F19" s="149"/>
      <c r="G19" s="107">
        <f>D19*E19*F19</f>
        <v>0</v>
      </c>
      <c r="H19" s="351"/>
      <c r="I19" s="33"/>
    </row>
    <row r="20" spans="1:9" s="29" customFormat="1" ht="30" x14ac:dyDescent="0.3">
      <c r="A20" s="33"/>
      <c r="B20" s="350" t="s">
        <v>33</v>
      </c>
      <c r="C20" s="148" t="s">
        <v>7</v>
      </c>
      <c r="D20" s="148"/>
      <c r="E20" s="147">
        <v>1</v>
      </c>
      <c r="F20" s="149"/>
      <c r="G20" s="107">
        <f>D20*E20*F20</f>
        <v>0</v>
      </c>
      <c r="H20" s="351"/>
      <c r="I20" s="33"/>
    </row>
    <row r="21" spans="1:9" s="29" customFormat="1" x14ac:dyDescent="0.3">
      <c r="A21" s="33"/>
      <c r="B21" s="350"/>
      <c r="C21" s="148"/>
      <c r="D21" s="148"/>
      <c r="E21" s="147"/>
      <c r="F21" s="149"/>
      <c r="G21" s="107"/>
      <c r="H21" s="351"/>
      <c r="I21" s="33"/>
    </row>
    <row r="22" spans="1:9" x14ac:dyDescent="0.3">
      <c r="A22" s="5"/>
      <c r="B22" s="346" t="s">
        <v>64</v>
      </c>
      <c r="C22" s="242" t="s">
        <v>5</v>
      </c>
      <c r="D22" s="242" t="s">
        <v>16</v>
      </c>
      <c r="E22" s="242" t="s">
        <v>59</v>
      </c>
      <c r="F22" s="242" t="s">
        <v>36</v>
      </c>
      <c r="G22" s="242" t="s">
        <v>4</v>
      </c>
      <c r="H22" s="347" t="s">
        <v>37</v>
      </c>
      <c r="I22" s="6"/>
    </row>
    <row r="23" spans="1:9" x14ac:dyDescent="0.3">
      <c r="A23" s="5"/>
      <c r="B23" s="354"/>
      <c r="C23" s="141"/>
      <c r="D23" s="109"/>
      <c r="E23" s="147">
        <v>1</v>
      </c>
      <c r="F23" s="149"/>
      <c r="G23" s="107">
        <f t="shared" ref="G23:G26" si="0">D23*E23*F23</f>
        <v>0</v>
      </c>
      <c r="H23" s="351"/>
      <c r="I23" s="6"/>
    </row>
    <row r="24" spans="1:9" x14ac:dyDescent="0.3">
      <c r="A24" s="5"/>
      <c r="B24" s="355"/>
      <c r="C24" s="141"/>
      <c r="D24" s="109"/>
      <c r="E24" s="147">
        <v>1</v>
      </c>
      <c r="F24" s="149"/>
      <c r="G24" s="107">
        <f t="shared" si="0"/>
        <v>0</v>
      </c>
      <c r="H24" s="351"/>
      <c r="I24" s="6"/>
    </row>
    <row r="25" spans="1:9" x14ac:dyDescent="0.3">
      <c r="A25" s="5"/>
      <c r="B25" s="355"/>
      <c r="C25" s="141"/>
      <c r="D25" s="109"/>
      <c r="E25" s="147">
        <v>1</v>
      </c>
      <c r="F25" s="149"/>
      <c r="G25" s="107">
        <f t="shared" si="0"/>
        <v>0</v>
      </c>
      <c r="H25" s="351"/>
      <c r="I25" s="6"/>
    </row>
    <row r="26" spans="1:9" x14ac:dyDescent="0.3">
      <c r="A26" s="5"/>
      <c r="B26" s="355"/>
      <c r="C26" s="141"/>
      <c r="D26" s="109"/>
      <c r="E26" s="147">
        <v>1</v>
      </c>
      <c r="F26" s="149"/>
      <c r="G26" s="107">
        <f t="shared" si="0"/>
        <v>0</v>
      </c>
      <c r="H26" s="351"/>
      <c r="I26" s="6"/>
    </row>
    <row r="27" spans="1:9" ht="33" customHeight="1" x14ac:dyDescent="0.3">
      <c r="A27" s="5"/>
      <c r="B27" s="346" t="s">
        <v>35</v>
      </c>
      <c r="C27" s="242" t="s">
        <v>5</v>
      </c>
      <c r="D27" s="242" t="s">
        <v>16</v>
      </c>
      <c r="E27" s="242" t="s">
        <v>59</v>
      </c>
      <c r="F27" s="242" t="s">
        <v>36</v>
      </c>
      <c r="G27" s="242" t="s">
        <v>4</v>
      </c>
      <c r="H27" s="347" t="s">
        <v>37</v>
      </c>
      <c r="I27" s="6"/>
    </row>
    <row r="28" spans="1:9" x14ac:dyDescent="0.3">
      <c r="A28" s="5"/>
      <c r="B28" s="355"/>
      <c r="C28" s="150" t="s">
        <v>277</v>
      </c>
      <c r="D28" s="150"/>
      <c r="E28" s="147">
        <v>1</v>
      </c>
      <c r="F28" s="149"/>
      <c r="G28" s="107">
        <f t="shared" ref="G28:G30" si="1">D28*E28*F28</f>
        <v>0</v>
      </c>
      <c r="H28" s="356"/>
      <c r="I28" s="6"/>
    </row>
    <row r="29" spans="1:9" x14ac:dyDescent="0.3">
      <c r="A29" s="5"/>
      <c r="B29" s="355"/>
      <c r="C29" s="141" t="s">
        <v>275</v>
      </c>
      <c r="D29" s="109"/>
      <c r="E29" s="147">
        <v>1</v>
      </c>
      <c r="F29" s="149"/>
      <c r="G29" s="107">
        <f t="shared" si="1"/>
        <v>0</v>
      </c>
      <c r="H29" s="351"/>
      <c r="I29" s="6"/>
    </row>
    <row r="30" spans="1:9" x14ac:dyDescent="0.3">
      <c r="A30" s="5"/>
      <c r="B30" s="357"/>
      <c r="C30" s="358"/>
      <c r="D30" s="320"/>
      <c r="E30" s="359">
        <v>1</v>
      </c>
      <c r="F30" s="360"/>
      <c r="G30" s="322">
        <f t="shared" si="1"/>
        <v>0</v>
      </c>
      <c r="H30" s="361"/>
      <c r="I30" s="6"/>
    </row>
    <row r="31" spans="1:9" ht="32.25" customHeight="1" x14ac:dyDescent="0.3">
      <c r="A31" s="43"/>
      <c r="B31" s="362" t="s">
        <v>65</v>
      </c>
      <c r="C31" s="363"/>
      <c r="D31" s="363"/>
      <c r="E31" s="363"/>
      <c r="F31" s="363"/>
      <c r="G31" s="364">
        <f>SUM(G13:G16)+SUM(G9:G11)+SUM(G18:G21)+SUM(G23:G26)+SUM(G28:G30)</f>
        <v>0</v>
      </c>
      <c r="H31" s="365" t="s">
        <v>37</v>
      </c>
    </row>
    <row r="32" spans="1:9" x14ac:dyDescent="0.3">
      <c r="A32" s="43"/>
      <c r="C32" s="43"/>
      <c r="D32" s="43"/>
    </row>
  </sheetData>
  <mergeCells count="2">
    <mergeCell ref="B2:H4"/>
    <mergeCell ref="B5:H6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0" workbookViewId="0">
      <selection activeCell="G30" sqref="G30"/>
    </sheetView>
  </sheetViews>
  <sheetFormatPr defaultRowHeight="16.5" x14ac:dyDescent="0.3"/>
  <cols>
    <col min="1" max="1" width="4" style="13" customWidth="1"/>
    <col min="2" max="2" width="66" style="1" customWidth="1"/>
    <col min="3" max="3" width="12" style="13" customWidth="1"/>
    <col min="4" max="4" width="15.7109375" style="13" customWidth="1"/>
    <col min="5" max="5" width="15.7109375" style="43" customWidth="1"/>
    <col min="6" max="6" width="20.42578125" style="1" customWidth="1"/>
    <col min="7" max="7" width="19.5703125" style="1" customWidth="1"/>
    <col min="8" max="8" width="32.28515625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10" x14ac:dyDescent="0.3">
      <c r="A1" s="43"/>
      <c r="C1" s="43"/>
      <c r="D1" s="43"/>
    </row>
    <row r="2" spans="1:10" ht="16.5" customHeight="1" x14ac:dyDescent="0.3">
      <c r="A2" s="43"/>
      <c r="B2" s="497" t="str">
        <f>CONCATENATE("Produto D - ",'Dados Gerais do Município'!$D$8)</f>
        <v>Produto D - Exemplo</v>
      </c>
      <c r="C2" s="498"/>
      <c r="D2" s="498"/>
      <c r="E2" s="498"/>
      <c r="F2" s="498"/>
      <c r="G2" s="498"/>
      <c r="H2" s="499"/>
    </row>
    <row r="3" spans="1:10" ht="13.5" customHeight="1" x14ac:dyDescent="0.3">
      <c r="A3" s="43"/>
      <c r="B3" s="534"/>
      <c r="C3" s="535"/>
      <c r="D3" s="535"/>
      <c r="E3" s="535"/>
      <c r="F3" s="535"/>
      <c r="G3" s="535"/>
      <c r="H3" s="536"/>
    </row>
    <row r="4" spans="1:10" ht="16.5" customHeight="1" x14ac:dyDescent="0.3">
      <c r="A4" s="43"/>
      <c r="B4" s="534"/>
      <c r="C4" s="535"/>
      <c r="D4" s="535"/>
      <c r="E4" s="535"/>
      <c r="F4" s="535"/>
      <c r="G4" s="535"/>
      <c r="H4" s="536"/>
    </row>
    <row r="5" spans="1:10" ht="29.25" customHeight="1" x14ac:dyDescent="0.3">
      <c r="A5" s="43"/>
      <c r="B5" s="537" t="s">
        <v>266</v>
      </c>
      <c r="C5" s="538"/>
      <c r="D5" s="538"/>
      <c r="E5" s="538"/>
      <c r="F5" s="538"/>
      <c r="G5" s="538"/>
      <c r="H5" s="539"/>
    </row>
    <row r="6" spans="1:10" ht="26.25" customHeight="1" x14ac:dyDescent="0.3">
      <c r="A6" s="43"/>
      <c r="B6" s="540"/>
      <c r="C6" s="541"/>
      <c r="D6" s="541"/>
      <c r="E6" s="541"/>
      <c r="F6" s="541"/>
      <c r="G6" s="541"/>
      <c r="H6" s="542"/>
    </row>
    <row r="7" spans="1:10" ht="22.5" customHeight="1" x14ac:dyDescent="0.3">
      <c r="A7" s="43"/>
      <c r="C7" s="34"/>
      <c r="D7" s="34"/>
      <c r="E7" s="34"/>
      <c r="F7" s="36"/>
      <c r="G7" s="36"/>
    </row>
    <row r="8" spans="1:10" x14ac:dyDescent="0.3">
      <c r="A8" s="43"/>
      <c r="B8" s="272" t="s">
        <v>62</v>
      </c>
      <c r="C8" s="273" t="s">
        <v>5</v>
      </c>
      <c r="D8" s="273" t="s">
        <v>16</v>
      </c>
      <c r="E8" s="273" t="s">
        <v>59</v>
      </c>
      <c r="F8" s="273" t="s">
        <v>36</v>
      </c>
      <c r="G8" s="273" t="s">
        <v>4</v>
      </c>
      <c r="H8" s="274" t="s">
        <v>37</v>
      </c>
      <c r="I8" s="14"/>
    </row>
    <row r="9" spans="1:10" x14ac:dyDescent="0.3">
      <c r="A9" s="5"/>
      <c r="B9" s="350" t="s">
        <v>26</v>
      </c>
      <c r="C9" s="143" t="s">
        <v>6</v>
      </c>
      <c r="D9" s="143">
        <f>'Distribuição Custos FIXOS'!$M$10</f>
        <v>2</v>
      </c>
      <c r="E9" s="144">
        <f>'Distribuição Custos FIXOS'!N10</f>
        <v>0.56564999999999999</v>
      </c>
      <c r="F9" s="145">
        <f>IF('Distribuição Custos FIXOS'!D19="SINAPI",'Equipe Técnica Permanente'!H11,'Equipe Técnica Permanente'!I11)</f>
        <v>0</v>
      </c>
      <c r="G9" s="146">
        <f>D9*E9*F9</f>
        <v>0</v>
      </c>
      <c r="H9" s="351"/>
      <c r="I9" s="14"/>
    </row>
    <row r="10" spans="1:10" x14ac:dyDescent="0.3">
      <c r="A10" s="5"/>
      <c r="B10" s="350" t="s">
        <v>27</v>
      </c>
      <c r="C10" s="143" t="s">
        <v>6</v>
      </c>
      <c r="D10" s="143">
        <f>'Distribuição Custos FIXOS'!$M$10</f>
        <v>2</v>
      </c>
      <c r="E10" s="144">
        <f>E9</f>
        <v>0.56564999999999999</v>
      </c>
      <c r="F10" s="145">
        <f>IF('Distribuição Custos FIXOS'!D19="SINAPI",'Equipe Técnica Permanente'!H18,'Equipe Técnica Permanente'!I18)</f>
        <v>0</v>
      </c>
      <c r="G10" s="146">
        <f>D10*E10*F10</f>
        <v>0</v>
      </c>
      <c r="H10" s="351"/>
      <c r="I10" s="14"/>
    </row>
    <row r="11" spans="1:10" s="29" customFormat="1" x14ac:dyDescent="0.3">
      <c r="A11" s="5"/>
      <c r="B11" s="350" t="s">
        <v>105</v>
      </c>
      <c r="C11" s="141" t="s">
        <v>6</v>
      </c>
      <c r="D11" s="143">
        <f>'Distribuição Custos FIXOS'!$M$10</f>
        <v>2</v>
      </c>
      <c r="E11" s="144">
        <f>E9</f>
        <v>0.56564999999999999</v>
      </c>
      <c r="F11" s="145">
        <f>'Estrutura de apoio'!G15</f>
        <v>0</v>
      </c>
      <c r="G11" s="146">
        <f>D11*E11*F11</f>
        <v>0</v>
      </c>
      <c r="H11" s="351"/>
      <c r="I11" s="14"/>
    </row>
    <row r="12" spans="1:10" s="29" customFormat="1" x14ac:dyDescent="0.3">
      <c r="A12" s="33"/>
      <c r="B12" s="346" t="s">
        <v>63</v>
      </c>
      <c r="C12" s="242" t="s">
        <v>5</v>
      </c>
      <c r="D12" s="242" t="s">
        <v>16</v>
      </c>
      <c r="E12" s="242" t="s">
        <v>59</v>
      </c>
      <c r="F12" s="242" t="s">
        <v>36</v>
      </c>
      <c r="G12" s="242" t="s">
        <v>4</v>
      </c>
      <c r="H12" s="347" t="s">
        <v>37</v>
      </c>
      <c r="I12" s="14"/>
      <c r="J12" s="17"/>
    </row>
    <row r="13" spans="1:10" s="29" customFormat="1" x14ac:dyDescent="0.3">
      <c r="A13" s="33"/>
      <c r="B13" s="350" t="s">
        <v>160</v>
      </c>
      <c r="C13" s="141" t="s">
        <v>7</v>
      </c>
      <c r="D13" s="109"/>
      <c r="E13" s="147">
        <v>1</v>
      </c>
      <c r="F13" s="107">
        <f>'Mobil. e Participação Social'!$H$21</f>
        <v>0</v>
      </c>
      <c r="G13" s="107">
        <f>D13*E13*F13</f>
        <v>0</v>
      </c>
      <c r="H13" s="351"/>
      <c r="I13" s="33"/>
    </row>
    <row r="14" spans="1:10" s="29" customFormat="1" x14ac:dyDescent="0.3">
      <c r="A14" s="33"/>
      <c r="B14" s="350" t="s">
        <v>42</v>
      </c>
      <c r="C14" s="148" t="s">
        <v>7</v>
      </c>
      <c r="D14" s="109"/>
      <c r="E14" s="147">
        <v>1</v>
      </c>
      <c r="F14" s="149">
        <f>'Deslocamento Terrestre'!$H$13</f>
        <v>0</v>
      </c>
      <c r="G14" s="107">
        <f>D14*E14*F14</f>
        <v>0</v>
      </c>
      <c r="H14" s="352"/>
      <c r="I14" s="33"/>
    </row>
    <row r="15" spans="1:10" s="29" customFormat="1" x14ac:dyDescent="0.3">
      <c r="A15" s="33"/>
      <c r="B15" s="350" t="s">
        <v>191</v>
      </c>
      <c r="C15" s="148" t="s">
        <v>7</v>
      </c>
      <c r="D15" s="109"/>
      <c r="E15" s="147">
        <v>1</v>
      </c>
      <c r="F15" s="149">
        <f>'Deslocamento Hidroviário'!$H$12</f>
        <v>0</v>
      </c>
      <c r="G15" s="107">
        <f>D15*E15*F15</f>
        <v>0</v>
      </c>
      <c r="H15" s="352"/>
      <c r="I15" s="33"/>
    </row>
    <row r="16" spans="1:10" s="29" customFormat="1" x14ac:dyDescent="0.3">
      <c r="A16" s="33"/>
      <c r="B16" s="350" t="str">
        <f>PA!B16</f>
        <v>Audiência Municipal</v>
      </c>
      <c r="C16" s="148" t="s">
        <v>7</v>
      </c>
      <c r="D16" s="148"/>
      <c r="E16" s="147">
        <v>1</v>
      </c>
      <c r="F16" s="149">
        <f>'Audiência Municipal'!$G$21</f>
        <v>0</v>
      </c>
      <c r="G16" s="107">
        <f>D16*E16*F16</f>
        <v>0</v>
      </c>
      <c r="H16" s="353"/>
      <c r="I16" s="33"/>
    </row>
    <row r="17" spans="1:9" s="29" customFormat="1" x14ac:dyDescent="0.3">
      <c r="A17" s="33"/>
      <c r="B17" s="346" t="s">
        <v>109</v>
      </c>
      <c r="C17" s="242" t="s">
        <v>5</v>
      </c>
      <c r="D17" s="242" t="s">
        <v>16</v>
      </c>
      <c r="E17" s="242" t="s">
        <v>59</v>
      </c>
      <c r="F17" s="242" t="s">
        <v>36</v>
      </c>
      <c r="G17" s="242" t="s">
        <v>4</v>
      </c>
      <c r="H17" s="347" t="s">
        <v>37</v>
      </c>
      <c r="I17" s="33"/>
    </row>
    <row r="18" spans="1:9" s="29" customFormat="1" x14ac:dyDescent="0.3">
      <c r="A18" s="33"/>
      <c r="B18" s="350" t="s">
        <v>110</v>
      </c>
      <c r="C18" s="148" t="s">
        <v>7</v>
      </c>
      <c r="D18" s="148"/>
      <c r="E18" s="147">
        <v>1</v>
      </c>
      <c r="F18" s="149"/>
      <c r="G18" s="107">
        <f>D18*E18*F18</f>
        <v>0</v>
      </c>
      <c r="H18" s="351"/>
      <c r="I18" s="33"/>
    </row>
    <row r="19" spans="1:9" s="29" customFormat="1" x14ac:dyDescent="0.3">
      <c r="A19" s="33"/>
      <c r="B19" s="350" t="s">
        <v>111</v>
      </c>
      <c r="C19" s="148" t="s">
        <v>7</v>
      </c>
      <c r="D19" s="148"/>
      <c r="E19" s="147">
        <v>1</v>
      </c>
      <c r="F19" s="149"/>
      <c r="G19" s="107">
        <f>D19*E19*F19</f>
        <v>0</v>
      </c>
      <c r="H19" s="351"/>
      <c r="I19" s="33"/>
    </row>
    <row r="20" spans="1:9" s="29" customFormat="1" ht="30" x14ac:dyDescent="0.3">
      <c r="A20" s="33"/>
      <c r="B20" s="350" t="s">
        <v>33</v>
      </c>
      <c r="C20" s="148" t="s">
        <v>7</v>
      </c>
      <c r="D20" s="148"/>
      <c r="E20" s="147">
        <v>1</v>
      </c>
      <c r="F20" s="149"/>
      <c r="G20" s="107">
        <f>D20*E20*F20</f>
        <v>0</v>
      </c>
      <c r="H20" s="351"/>
      <c r="I20" s="33"/>
    </row>
    <row r="21" spans="1:9" s="29" customFormat="1" x14ac:dyDescent="0.3">
      <c r="A21" s="33"/>
      <c r="B21" s="350"/>
      <c r="C21" s="148"/>
      <c r="D21" s="148"/>
      <c r="E21" s="147"/>
      <c r="F21" s="149"/>
      <c r="G21" s="107"/>
      <c r="H21" s="351"/>
      <c r="I21" s="33"/>
    </row>
    <row r="22" spans="1:9" x14ac:dyDescent="0.3">
      <c r="A22" s="5"/>
      <c r="B22" s="346" t="s">
        <v>64</v>
      </c>
      <c r="C22" s="242" t="s">
        <v>5</v>
      </c>
      <c r="D22" s="242" t="s">
        <v>16</v>
      </c>
      <c r="E22" s="242" t="s">
        <v>59</v>
      </c>
      <c r="F22" s="242" t="s">
        <v>36</v>
      </c>
      <c r="G22" s="242" t="s">
        <v>4</v>
      </c>
      <c r="H22" s="347" t="s">
        <v>37</v>
      </c>
      <c r="I22" s="6"/>
    </row>
    <row r="23" spans="1:9" x14ac:dyDescent="0.3">
      <c r="A23" s="5"/>
      <c r="B23" s="354"/>
      <c r="C23" s="141"/>
      <c r="D23" s="109"/>
      <c r="E23" s="147">
        <v>1</v>
      </c>
      <c r="F23" s="149"/>
      <c r="G23" s="107">
        <f t="shared" ref="G23:G26" si="0">D23*E23*F23</f>
        <v>0</v>
      </c>
      <c r="H23" s="351"/>
      <c r="I23" s="6"/>
    </row>
    <row r="24" spans="1:9" x14ac:dyDescent="0.3">
      <c r="A24" s="5"/>
      <c r="B24" s="355"/>
      <c r="C24" s="141"/>
      <c r="D24" s="109"/>
      <c r="E24" s="147">
        <v>1</v>
      </c>
      <c r="F24" s="149"/>
      <c r="G24" s="107">
        <f t="shared" si="0"/>
        <v>0</v>
      </c>
      <c r="H24" s="351"/>
      <c r="I24" s="6"/>
    </row>
    <row r="25" spans="1:9" x14ac:dyDescent="0.3">
      <c r="A25" s="5"/>
      <c r="B25" s="355"/>
      <c r="C25" s="141"/>
      <c r="D25" s="109"/>
      <c r="E25" s="147">
        <v>1</v>
      </c>
      <c r="F25" s="149"/>
      <c r="G25" s="107">
        <f t="shared" si="0"/>
        <v>0</v>
      </c>
      <c r="H25" s="351"/>
      <c r="I25" s="6"/>
    </row>
    <row r="26" spans="1:9" x14ac:dyDescent="0.3">
      <c r="A26" s="5"/>
      <c r="B26" s="355"/>
      <c r="C26" s="141"/>
      <c r="D26" s="109"/>
      <c r="E26" s="147">
        <v>1</v>
      </c>
      <c r="F26" s="149"/>
      <c r="G26" s="107">
        <f t="shared" si="0"/>
        <v>0</v>
      </c>
      <c r="H26" s="351"/>
      <c r="I26" s="6"/>
    </row>
    <row r="27" spans="1:9" ht="33" customHeight="1" x14ac:dyDescent="0.3">
      <c r="A27" s="5"/>
      <c r="B27" s="346" t="s">
        <v>35</v>
      </c>
      <c r="C27" s="242" t="s">
        <v>5</v>
      </c>
      <c r="D27" s="242" t="s">
        <v>16</v>
      </c>
      <c r="E27" s="242" t="s">
        <v>59</v>
      </c>
      <c r="F27" s="242" t="s">
        <v>36</v>
      </c>
      <c r="G27" s="242" t="s">
        <v>4</v>
      </c>
      <c r="H27" s="347" t="s">
        <v>37</v>
      </c>
      <c r="I27" s="6"/>
    </row>
    <row r="28" spans="1:9" x14ac:dyDescent="0.3">
      <c r="A28" s="5"/>
      <c r="B28" s="355"/>
      <c r="C28" s="150"/>
      <c r="D28" s="150"/>
      <c r="E28" s="147">
        <v>1</v>
      </c>
      <c r="F28" s="149"/>
      <c r="G28" s="107">
        <f t="shared" ref="G28:G30" si="1">D28*E28*F28</f>
        <v>0</v>
      </c>
      <c r="H28" s="356"/>
      <c r="I28" s="6"/>
    </row>
    <row r="29" spans="1:9" x14ac:dyDescent="0.3">
      <c r="A29" s="5"/>
      <c r="B29" s="355"/>
      <c r="C29" s="141"/>
      <c r="D29" s="109"/>
      <c r="E29" s="147">
        <v>1</v>
      </c>
      <c r="F29" s="149"/>
      <c r="G29" s="107">
        <f t="shared" si="1"/>
        <v>0</v>
      </c>
      <c r="H29" s="351"/>
      <c r="I29" s="6"/>
    </row>
    <row r="30" spans="1:9" x14ac:dyDescent="0.3">
      <c r="A30" s="5"/>
      <c r="B30" s="357"/>
      <c r="C30" s="358"/>
      <c r="D30" s="320"/>
      <c r="E30" s="359">
        <v>1</v>
      </c>
      <c r="F30" s="360"/>
      <c r="G30" s="322">
        <f t="shared" si="1"/>
        <v>0</v>
      </c>
      <c r="H30" s="361"/>
      <c r="I30" s="6"/>
    </row>
    <row r="31" spans="1:9" ht="33" customHeight="1" x14ac:dyDescent="0.3">
      <c r="A31" s="43"/>
      <c r="B31" s="362" t="s">
        <v>66</v>
      </c>
      <c r="C31" s="363"/>
      <c r="D31" s="363"/>
      <c r="E31" s="363"/>
      <c r="F31" s="363"/>
      <c r="G31" s="364">
        <f>SUM(G13:G16)+SUM(G9:G11)+SUM(G18:G21)+SUM(G23:G26)+SUM(G28:G30)</f>
        <v>0</v>
      </c>
      <c r="H31" s="365" t="s">
        <v>37</v>
      </c>
    </row>
    <row r="32" spans="1:9" x14ac:dyDescent="0.3">
      <c r="A32" s="43"/>
      <c r="C32" s="43"/>
      <c r="D32" s="43"/>
    </row>
  </sheetData>
  <mergeCells count="2">
    <mergeCell ref="B2:H4"/>
    <mergeCell ref="B5:H6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0" workbookViewId="0">
      <selection activeCell="F30" sqref="F30"/>
    </sheetView>
  </sheetViews>
  <sheetFormatPr defaultRowHeight="16.5" x14ac:dyDescent="0.3"/>
  <cols>
    <col min="1" max="1" width="6.7109375" style="13" customWidth="1"/>
    <col min="2" max="2" width="66" style="1" customWidth="1"/>
    <col min="3" max="3" width="16.140625" style="13" customWidth="1"/>
    <col min="4" max="4" width="14.42578125" style="13" customWidth="1"/>
    <col min="5" max="5" width="15.28515625" style="43" customWidth="1"/>
    <col min="6" max="6" width="17.5703125" style="1" customWidth="1"/>
    <col min="7" max="7" width="19.5703125" style="1" customWidth="1"/>
    <col min="8" max="8" width="32.28515625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10" x14ac:dyDescent="0.3">
      <c r="A1" s="43"/>
      <c r="C1" s="43"/>
      <c r="D1" s="43"/>
    </row>
    <row r="2" spans="1:10" ht="16.5" customHeight="1" x14ac:dyDescent="0.3">
      <c r="A2" s="43"/>
      <c r="B2" s="497" t="str">
        <f>CONCATENATE("Produto E - ",'Dados Gerais do Município'!$D$8)</f>
        <v>Produto E - Exemplo</v>
      </c>
      <c r="C2" s="498"/>
      <c r="D2" s="498"/>
      <c r="E2" s="498"/>
      <c r="F2" s="498"/>
      <c r="G2" s="498"/>
      <c r="H2" s="499"/>
    </row>
    <row r="3" spans="1:10" ht="16.5" customHeight="1" x14ac:dyDescent="0.3">
      <c r="A3" s="43"/>
      <c r="B3" s="534"/>
      <c r="C3" s="535"/>
      <c r="D3" s="535"/>
      <c r="E3" s="535"/>
      <c r="F3" s="535"/>
      <c r="G3" s="535"/>
      <c r="H3" s="536"/>
    </row>
    <row r="4" spans="1:10" ht="16.5" customHeight="1" x14ac:dyDescent="0.3">
      <c r="A4" s="43"/>
      <c r="B4" s="534"/>
      <c r="C4" s="535"/>
      <c r="D4" s="535"/>
      <c r="E4" s="535"/>
      <c r="F4" s="535"/>
      <c r="G4" s="535"/>
      <c r="H4" s="536"/>
    </row>
    <row r="5" spans="1:10" ht="24.75" customHeight="1" x14ac:dyDescent="0.3">
      <c r="A5" s="43"/>
      <c r="B5" s="537" t="s">
        <v>267</v>
      </c>
      <c r="C5" s="538"/>
      <c r="D5" s="538"/>
      <c r="E5" s="538"/>
      <c r="F5" s="538"/>
      <c r="G5" s="538"/>
      <c r="H5" s="539"/>
    </row>
    <row r="6" spans="1:10" ht="24.75" customHeight="1" x14ac:dyDescent="0.3">
      <c r="A6" s="43"/>
      <c r="B6" s="540"/>
      <c r="C6" s="541"/>
      <c r="D6" s="541"/>
      <c r="E6" s="541"/>
      <c r="F6" s="541"/>
      <c r="G6" s="541"/>
      <c r="H6" s="542"/>
    </row>
    <row r="7" spans="1:10" ht="22.5" customHeight="1" x14ac:dyDescent="0.3">
      <c r="A7" s="43"/>
      <c r="C7" s="34"/>
      <c r="D7" s="34"/>
      <c r="E7" s="34"/>
      <c r="F7" s="36"/>
      <c r="G7" s="36"/>
    </row>
    <row r="8" spans="1:10" x14ac:dyDescent="0.3">
      <c r="A8" s="43"/>
      <c r="B8" s="272" t="s">
        <v>62</v>
      </c>
      <c r="C8" s="273" t="s">
        <v>5</v>
      </c>
      <c r="D8" s="273" t="s">
        <v>16</v>
      </c>
      <c r="E8" s="273" t="s">
        <v>59</v>
      </c>
      <c r="F8" s="273" t="s">
        <v>36</v>
      </c>
      <c r="G8" s="273" t="s">
        <v>4</v>
      </c>
      <c r="H8" s="274" t="s">
        <v>37</v>
      </c>
      <c r="I8" s="14"/>
    </row>
    <row r="9" spans="1:10" x14ac:dyDescent="0.3">
      <c r="A9" s="5"/>
      <c r="B9" s="350" t="s">
        <v>26</v>
      </c>
      <c r="C9" s="143" t="s">
        <v>6</v>
      </c>
      <c r="D9" s="143">
        <f>'Distribuição Custos FIXOS'!$M$11</f>
        <v>4</v>
      </c>
      <c r="E9" s="144">
        <f>'Distribuição Custos FIXOS'!N11</f>
        <v>0.62659166666666666</v>
      </c>
      <c r="F9" s="145">
        <f>IF('Distribuição Custos FIXOS'!D19="SINAPI",'Equipe Técnica Permanente'!H11,'Equipe Técnica Permanente'!I11)</f>
        <v>0</v>
      </c>
      <c r="G9" s="146">
        <f>D9*E9*F9</f>
        <v>0</v>
      </c>
      <c r="H9" s="351"/>
      <c r="I9" s="14"/>
    </row>
    <row r="10" spans="1:10" x14ac:dyDescent="0.3">
      <c r="A10" s="5"/>
      <c r="B10" s="350" t="s">
        <v>27</v>
      </c>
      <c r="C10" s="143" t="s">
        <v>6</v>
      </c>
      <c r="D10" s="143">
        <f>'Distribuição Custos FIXOS'!$M$11</f>
        <v>4</v>
      </c>
      <c r="E10" s="144">
        <f>E9</f>
        <v>0.62659166666666666</v>
      </c>
      <c r="F10" s="145">
        <f>IF('Distribuição Custos FIXOS'!D19="SINAPI",'Equipe Técnica Permanente'!H18,'Equipe Técnica Permanente'!I18)</f>
        <v>0</v>
      </c>
      <c r="G10" s="146">
        <f>D10*E10*F10</f>
        <v>0</v>
      </c>
      <c r="H10" s="351"/>
      <c r="I10" s="14"/>
    </row>
    <row r="11" spans="1:10" s="29" customFormat="1" x14ac:dyDescent="0.3">
      <c r="A11" s="5"/>
      <c r="B11" s="350" t="s">
        <v>105</v>
      </c>
      <c r="C11" s="141" t="s">
        <v>6</v>
      </c>
      <c r="D11" s="143">
        <f>'Distribuição Custos FIXOS'!$M$11</f>
        <v>4</v>
      </c>
      <c r="E11" s="144">
        <f>E9</f>
        <v>0.62659166666666666</v>
      </c>
      <c r="F11" s="145">
        <f>'Estrutura de apoio'!G15</f>
        <v>0</v>
      </c>
      <c r="G11" s="146">
        <f>D11*E11*F11</f>
        <v>0</v>
      </c>
      <c r="H11" s="351"/>
      <c r="I11" s="14"/>
    </row>
    <row r="12" spans="1:10" s="29" customFormat="1" x14ac:dyDescent="0.3">
      <c r="A12" s="33"/>
      <c r="B12" s="346" t="s">
        <v>63</v>
      </c>
      <c r="C12" s="242" t="s">
        <v>5</v>
      </c>
      <c r="D12" s="242" t="s">
        <v>16</v>
      </c>
      <c r="E12" s="242" t="s">
        <v>59</v>
      </c>
      <c r="F12" s="242" t="s">
        <v>36</v>
      </c>
      <c r="G12" s="242" t="s">
        <v>4</v>
      </c>
      <c r="H12" s="347" t="s">
        <v>37</v>
      </c>
      <c r="I12" s="14"/>
    </row>
    <row r="13" spans="1:10" s="29" customFormat="1" x14ac:dyDescent="0.3">
      <c r="A13" s="33"/>
      <c r="B13" s="350" t="s">
        <v>160</v>
      </c>
      <c r="C13" s="141" t="s">
        <v>7</v>
      </c>
      <c r="D13" s="109"/>
      <c r="E13" s="147">
        <v>1</v>
      </c>
      <c r="F13" s="107">
        <f>'Mobil. e Participação Social'!$H$21</f>
        <v>0</v>
      </c>
      <c r="G13" s="107">
        <f>D13*E13*F13</f>
        <v>0</v>
      </c>
      <c r="H13" s="351"/>
      <c r="I13" s="33"/>
    </row>
    <row r="14" spans="1:10" s="29" customFormat="1" x14ac:dyDescent="0.3">
      <c r="A14" s="33"/>
      <c r="B14" s="350" t="s">
        <v>42</v>
      </c>
      <c r="C14" s="148" t="s">
        <v>7</v>
      </c>
      <c r="D14" s="109"/>
      <c r="E14" s="147">
        <v>1</v>
      </c>
      <c r="F14" s="149">
        <f>'Deslocamento Terrestre'!$H$13</f>
        <v>0</v>
      </c>
      <c r="G14" s="107">
        <f>D14*E14*F14</f>
        <v>0</v>
      </c>
      <c r="H14" s="352"/>
      <c r="I14" s="33"/>
      <c r="J14" s="17"/>
    </row>
    <row r="15" spans="1:10" s="29" customFormat="1" x14ac:dyDescent="0.3">
      <c r="A15" s="33"/>
      <c r="B15" s="350" t="s">
        <v>191</v>
      </c>
      <c r="C15" s="148" t="s">
        <v>7</v>
      </c>
      <c r="D15" s="109"/>
      <c r="E15" s="147">
        <v>1</v>
      </c>
      <c r="F15" s="149">
        <f>'Deslocamento Hidroviário'!$H$12</f>
        <v>0</v>
      </c>
      <c r="G15" s="107">
        <f>D15*E15*F15</f>
        <v>0</v>
      </c>
      <c r="H15" s="352"/>
      <c r="I15" s="33"/>
    </row>
    <row r="16" spans="1:10" s="29" customFormat="1" x14ac:dyDescent="0.3">
      <c r="A16" s="33"/>
      <c r="B16" s="350" t="str">
        <f>PA!B16</f>
        <v>Audiência Municipal</v>
      </c>
      <c r="C16" s="148" t="s">
        <v>7</v>
      </c>
      <c r="D16" s="148"/>
      <c r="E16" s="147">
        <v>1</v>
      </c>
      <c r="F16" s="149">
        <f>'Audiência Municipal'!$G$21</f>
        <v>0</v>
      </c>
      <c r="G16" s="107">
        <f>D16*E16*F16</f>
        <v>0</v>
      </c>
      <c r="H16" s="353"/>
      <c r="I16" s="33"/>
    </row>
    <row r="17" spans="1:9" s="29" customFormat="1" x14ac:dyDescent="0.3">
      <c r="A17" s="33"/>
      <c r="B17" s="346" t="s">
        <v>109</v>
      </c>
      <c r="C17" s="242" t="s">
        <v>5</v>
      </c>
      <c r="D17" s="242" t="s">
        <v>16</v>
      </c>
      <c r="E17" s="242" t="s">
        <v>59</v>
      </c>
      <c r="F17" s="242" t="s">
        <v>36</v>
      </c>
      <c r="G17" s="242" t="s">
        <v>4</v>
      </c>
      <c r="H17" s="347" t="s">
        <v>37</v>
      </c>
      <c r="I17" s="33"/>
    </row>
    <row r="18" spans="1:9" s="29" customFormat="1" x14ac:dyDescent="0.3">
      <c r="A18" s="33"/>
      <c r="B18" s="350" t="s">
        <v>110</v>
      </c>
      <c r="C18" s="148" t="s">
        <v>7</v>
      </c>
      <c r="D18" s="148"/>
      <c r="E18" s="147">
        <v>1</v>
      </c>
      <c r="F18" s="149"/>
      <c r="G18" s="107">
        <f>D18*E18*F18</f>
        <v>0</v>
      </c>
      <c r="H18" s="351"/>
      <c r="I18" s="33"/>
    </row>
    <row r="19" spans="1:9" s="29" customFormat="1" x14ac:dyDescent="0.3">
      <c r="A19" s="33"/>
      <c r="B19" s="350" t="s">
        <v>111</v>
      </c>
      <c r="C19" s="148" t="s">
        <v>7</v>
      </c>
      <c r="D19" s="148"/>
      <c r="E19" s="147">
        <v>1</v>
      </c>
      <c r="F19" s="149"/>
      <c r="G19" s="107">
        <f>D19*E19*F19</f>
        <v>0</v>
      </c>
      <c r="H19" s="351"/>
      <c r="I19" s="33"/>
    </row>
    <row r="20" spans="1:9" s="29" customFormat="1" ht="30" x14ac:dyDescent="0.3">
      <c r="A20" s="33"/>
      <c r="B20" s="350" t="s">
        <v>33</v>
      </c>
      <c r="C20" s="148" t="s">
        <v>7</v>
      </c>
      <c r="D20" s="148"/>
      <c r="E20" s="147">
        <v>1</v>
      </c>
      <c r="F20" s="149"/>
      <c r="G20" s="107">
        <f>D20*E20*F20</f>
        <v>0</v>
      </c>
      <c r="H20" s="351"/>
      <c r="I20" s="33"/>
    </row>
    <row r="21" spans="1:9" s="29" customFormat="1" x14ac:dyDescent="0.3">
      <c r="A21" s="33"/>
      <c r="B21" s="350"/>
      <c r="C21" s="148"/>
      <c r="D21" s="148"/>
      <c r="E21" s="147"/>
      <c r="F21" s="149"/>
      <c r="G21" s="107"/>
      <c r="H21" s="351"/>
      <c r="I21" s="33"/>
    </row>
    <row r="22" spans="1:9" x14ac:dyDescent="0.3">
      <c r="A22" s="5"/>
      <c r="B22" s="346" t="s">
        <v>64</v>
      </c>
      <c r="C22" s="242" t="s">
        <v>5</v>
      </c>
      <c r="D22" s="242" t="s">
        <v>16</v>
      </c>
      <c r="E22" s="242" t="s">
        <v>59</v>
      </c>
      <c r="F22" s="242" t="s">
        <v>36</v>
      </c>
      <c r="G22" s="242" t="s">
        <v>4</v>
      </c>
      <c r="H22" s="347" t="s">
        <v>37</v>
      </c>
      <c r="I22" s="6"/>
    </row>
    <row r="23" spans="1:9" x14ac:dyDescent="0.3">
      <c r="A23" s="5"/>
      <c r="B23" s="354"/>
      <c r="C23" s="141"/>
      <c r="D23" s="109"/>
      <c r="E23" s="147">
        <v>1</v>
      </c>
      <c r="F23" s="149"/>
      <c r="G23" s="107">
        <f t="shared" ref="G23:G26" si="0">D23*E23*F23</f>
        <v>0</v>
      </c>
      <c r="H23" s="351"/>
      <c r="I23" s="6"/>
    </row>
    <row r="24" spans="1:9" x14ac:dyDescent="0.3">
      <c r="A24" s="5"/>
      <c r="B24" s="355"/>
      <c r="C24" s="141"/>
      <c r="D24" s="109"/>
      <c r="E24" s="147">
        <v>1</v>
      </c>
      <c r="F24" s="149"/>
      <c r="G24" s="107">
        <f t="shared" si="0"/>
        <v>0</v>
      </c>
      <c r="H24" s="351"/>
      <c r="I24" s="6"/>
    </row>
    <row r="25" spans="1:9" x14ac:dyDescent="0.3">
      <c r="A25" s="5"/>
      <c r="B25" s="355"/>
      <c r="C25" s="141"/>
      <c r="D25" s="109"/>
      <c r="E25" s="147">
        <v>1</v>
      </c>
      <c r="F25" s="149"/>
      <c r="G25" s="107">
        <f t="shared" si="0"/>
        <v>0</v>
      </c>
      <c r="H25" s="351"/>
      <c r="I25" s="6"/>
    </row>
    <row r="26" spans="1:9" x14ac:dyDescent="0.3">
      <c r="A26" s="5"/>
      <c r="B26" s="355"/>
      <c r="C26" s="141"/>
      <c r="D26" s="109"/>
      <c r="E26" s="147">
        <v>1</v>
      </c>
      <c r="F26" s="149"/>
      <c r="G26" s="107">
        <f t="shared" si="0"/>
        <v>0</v>
      </c>
      <c r="H26" s="351"/>
      <c r="I26" s="6"/>
    </row>
    <row r="27" spans="1:9" ht="33" customHeight="1" x14ac:dyDescent="0.3">
      <c r="A27" s="5"/>
      <c r="B27" s="346" t="s">
        <v>35</v>
      </c>
      <c r="C27" s="242" t="s">
        <v>5</v>
      </c>
      <c r="D27" s="242" t="s">
        <v>16</v>
      </c>
      <c r="E27" s="242" t="s">
        <v>59</v>
      </c>
      <c r="F27" s="242" t="s">
        <v>36</v>
      </c>
      <c r="G27" s="242" t="s">
        <v>4</v>
      </c>
      <c r="H27" s="347" t="s">
        <v>37</v>
      </c>
      <c r="I27" s="6"/>
    </row>
    <row r="28" spans="1:9" x14ac:dyDescent="0.3">
      <c r="A28" s="5"/>
      <c r="B28" s="355"/>
      <c r="C28" s="150"/>
      <c r="D28" s="150"/>
      <c r="E28" s="147">
        <v>1</v>
      </c>
      <c r="F28" s="149"/>
      <c r="G28" s="107">
        <f t="shared" ref="G28:G30" si="1">D28*E28*F28</f>
        <v>0</v>
      </c>
      <c r="H28" s="356"/>
      <c r="I28" s="6"/>
    </row>
    <row r="29" spans="1:9" x14ac:dyDescent="0.3">
      <c r="A29" s="5"/>
      <c r="B29" s="355"/>
      <c r="C29" s="141"/>
      <c r="D29" s="109"/>
      <c r="E29" s="147">
        <v>1</v>
      </c>
      <c r="F29" s="149"/>
      <c r="G29" s="107">
        <f t="shared" si="1"/>
        <v>0</v>
      </c>
      <c r="H29" s="351"/>
      <c r="I29" s="6"/>
    </row>
    <row r="30" spans="1:9" x14ac:dyDescent="0.3">
      <c r="A30" s="5"/>
      <c r="B30" s="357"/>
      <c r="C30" s="358"/>
      <c r="D30" s="320"/>
      <c r="E30" s="359">
        <v>1</v>
      </c>
      <c r="F30" s="360"/>
      <c r="G30" s="322">
        <f t="shared" si="1"/>
        <v>0</v>
      </c>
      <c r="H30" s="361"/>
      <c r="I30" s="6"/>
    </row>
    <row r="31" spans="1:9" ht="33" customHeight="1" x14ac:dyDescent="0.3">
      <c r="A31" s="43"/>
      <c r="B31" s="362" t="s">
        <v>67</v>
      </c>
      <c r="C31" s="363"/>
      <c r="D31" s="363"/>
      <c r="E31" s="363"/>
      <c r="F31" s="363"/>
      <c r="G31" s="364">
        <f>SUM(G13:G16)+SUM(G9:G11)+SUM(G18:G21)+SUM(G23:G26)+SUM(G28:G30)</f>
        <v>0</v>
      </c>
      <c r="H31" s="365" t="s">
        <v>37</v>
      </c>
    </row>
    <row r="32" spans="1:9" x14ac:dyDescent="0.3">
      <c r="A32" s="43"/>
      <c r="C32" s="43"/>
      <c r="D32" s="43"/>
    </row>
  </sheetData>
  <mergeCells count="2">
    <mergeCell ref="B2:H4"/>
    <mergeCell ref="B5:H6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0" workbookViewId="0">
      <selection activeCell="F13" sqref="F13:F16"/>
    </sheetView>
  </sheetViews>
  <sheetFormatPr defaultRowHeight="16.5" x14ac:dyDescent="0.3"/>
  <cols>
    <col min="1" max="1" width="6.7109375" style="13" customWidth="1"/>
    <col min="2" max="2" width="66" style="1" customWidth="1"/>
    <col min="3" max="3" width="13.85546875" style="13" customWidth="1"/>
    <col min="4" max="4" width="14.140625" style="13" customWidth="1"/>
    <col min="5" max="5" width="14.85546875" style="43" customWidth="1"/>
    <col min="6" max="6" width="24.5703125" style="1" customWidth="1"/>
    <col min="7" max="7" width="24.85546875" style="1" customWidth="1"/>
    <col min="8" max="8" width="32.28515625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10" x14ac:dyDescent="0.3">
      <c r="A1" s="43"/>
      <c r="C1" s="43"/>
      <c r="D1" s="43"/>
    </row>
    <row r="2" spans="1:10" ht="16.5" customHeight="1" x14ac:dyDescent="0.3">
      <c r="A2" s="43"/>
      <c r="B2" s="497" t="str">
        <f>CONCATENATE("Produto F - ",'Dados Gerais do Município'!$D$8)</f>
        <v>Produto F - Exemplo</v>
      </c>
      <c r="C2" s="498"/>
      <c r="D2" s="498"/>
      <c r="E2" s="498"/>
      <c r="F2" s="498"/>
      <c r="G2" s="498"/>
      <c r="H2" s="499"/>
    </row>
    <row r="3" spans="1:10" ht="16.5" customHeight="1" x14ac:dyDescent="0.3">
      <c r="A3" s="43"/>
      <c r="B3" s="534"/>
      <c r="C3" s="535"/>
      <c r="D3" s="535"/>
      <c r="E3" s="535"/>
      <c r="F3" s="535"/>
      <c r="G3" s="535"/>
      <c r="H3" s="536"/>
    </row>
    <row r="4" spans="1:10" ht="16.5" customHeight="1" x14ac:dyDescent="0.3">
      <c r="A4" s="43"/>
      <c r="B4" s="534"/>
      <c r="C4" s="535"/>
      <c r="D4" s="535"/>
      <c r="E4" s="535"/>
      <c r="F4" s="535"/>
      <c r="G4" s="535"/>
      <c r="H4" s="536"/>
    </row>
    <row r="5" spans="1:10" ht="16.5" customHeight="1" x14ac:dyDescent="0.3">
      <c r="A5" s="43"/>
      <c r="B5" s="537" t="s">
        <v>268</v>
      </c>
      <c r="C5" s="538"/>
      <c r="D5" s="538"/>
      <c r="E5" s="538"/>
      <c r="F5" s="538"/>
      <c r="G5" s="538"/>
      <c r="H5" s="539"/>
    </row>
    <row r="6" spans="1:10" x14ac:dyDescent="0.3">
      <c r="A6" s="43"/>
      <c r="B6" s="540"/>
      <c r="C6" s="541"/>
      <c r="D6" s="541"/>
      <c r="E6" s="541"/>
      <c r="F6" s="541"/>
      <c r="G6" s="541"/>
      <c r="H6" s="542"/>
    </row>
    <row r="7" spans="1:10" ht="22.5" customHeight="1" x14ac:dyDescent="0.3">
      <c r="A7" s="43"/>
      <c r="C7" s="34"/>
      <c r="D7" s="34"/>
      <c r="E7" s="34"/>
      <c r="F7" s="36"/>
      <c r="G7" s="36"/>
    </row>
    <row r="8" spans="1:10" x14ac:dyDescent="0.3">
      <c r="A8" s="43"/>
      <c r="B8" s="272" t="s">
        <v>62</v>
      </c>
      <c r="C8" s="273" t="s">
        <v>5</v>
      </c>
      <c r="D8" s="273" t="s">
        <v>16</v>
      </c>
      <c r="E8" s="273" t="s">
        <v>59</v>
      </c>
      <c r="F8" s="273" t="s">
        <v>36</v>
      </c>
      <c r="G8" s="273" t="s">
        <v>4</v>
      </c>
      <c r="H8" s="274" t="s">
        <v>37</v>
      </c>
      <c r="I8" s="14"/>
    </row>
    <row r="9" spans="1:10" x14ac:dyDescent="0.3">
      <c r="A9" s="5"/>
      <c r="B9" s="350" t="s">
        <v>26</v>
      </c>
      <c r="C9" s="143" t="s">
        <v>6</v>
      </c>
      <c r="D9" s="143">
        <f>'Distribuição Custos FIXOS'!$M$12</f>
        <v>4</v>
      </c>
      <c r="E9" s="144">
        <f>'Distribuição Custos FIXOS'!N12</f>
        <v>0.15954166666666666</v>
      </c>
      <c r="F9" s="145">
        <f>IF('Distribuição Custos FIXOS'!D19="SINAPI",'Equipe Técnica Permanente'!H11,'Equipe Técnica Permanente'!I11)</f>
        <v>0</v>
      </c>
      <c r="G9" s="146">
        <f>D9*E9*F9</f>
        <v>0</v>
      </c>
      <c r="H9" s="351"/>
      <c r="I9" s="14"/>
    </row>
    <row r="10" spans="1:10" x14ac:dyDescent="0.3">
      <c r="A10" s="5"/>
      <c r="B10" s="350" t="s">
        <v>27</v>
      </c>
      <c r="C10" s="143" t="s">
        <v>6</v>
      </c>
      <c r="D10" s="143">
        <f>'Distribuição Custos FIXOS'!$M$12</f>
        <v>4</v>
      </c>
      <c r="E10" s="144">
        <f>E9</f>
        <v>0.15954166666666666</v>
      </c>
      <c r="F10" s="145">
        <f>IF('Distribuição Custos FIXOS'!D19="SINAPI",'Equipe Técnica Permanente'!H18,'Equipe Técnica Permanente'!I18)</f>
        <v>0</v>
      </c>
      <c r="G10" s="146">
        <f>D10*E10*F10</f>
        <v>0</v>
      </c>
      <c r="H10" s="351"/>
      <c r="I10" s="14"/>
    </row>
    <row r="11" spans="1:10" s="29" customFormat="1" x14ac:dyDescent="0.3">
      <c r="A11" s="5"/>
      <c r="B11" s="350" t="s">
        <v>105</v>
      </c>
      <c r="C11" s="141" t="s">
        <v>6</v>
      </c>
      <c r="D11" s="143">
        <f>'Distribuição Custos FIXOS'!$M$12</f>
        <v>4</v>
      </c>
      <c r="E11" s="144">
        <f>E9</f>
        <v>0.15954166666666666</v>
      </c>
      <c r="F11" s="145">
        <f>'Estrutura de apoio'!G15</f>
        <v>0</v>
      </c>
      <c r="G11" s="146">
        <f>D11*E11*F11</f>
        <v>0</v>
      </c>
      <c r="H11" s="351"/>
      <c r="I11" s="14"/>
    </row>
    <row r="12" spans="1:10" s="29" customFormat="1" x14ac:dyDescent="0.3">
      <c r="A12" s="33"/>
      <c r="B12" s="346" t="s">
        <v>63</v>
      </c>
      <c r="C12" s="242" t="s">
        <v>5</v>
      </c>
      <c r="D12" s="242" t="s">
        <v>16</v>
      </c>
      <c r="E12" s="242" t="s">
        <v>59</v>
      </c>
      <c r="F12" s="242" t="s">
        <v>36</v>
      </c>
      <c r="G12" s="242" t="s">
        <v>4</v>
      </c>
      <c r="H12" s="347" t="s">
        <v>37</v>
      </c>
      <c r="I12" s="14"/>
    </row>
    <row r="13" spans="1:10" s="29" customFormat="1" x14ac:dyDescent="0.3">
      <c r="A13" s="33"/>
      <c r="B13" s="350" t="s">
        <v>160</v>
      </c>
      <c r="C13" s="141" t="s">
        <v>7</v>
      </c>
      <c r="D13" s="109"/>
      <c r="E13" s="147">
        <v>1</v>
      </c>
      <c r="F13" s="107">
        <f>'Mobil. e Participação Social'!$H$21</f>
        <v>0</v>
      </c>
      <c r="G13" s="107">
        <f>D13*E13*F13</f>
        <v>0</v>
      </c>
      <c r="H13" s="351"/>
      <c r="I13" s="33"/>
      <c r="J13" s="17"/>
    </row>
    <row r="14" spans="1:10" s="29" customFormat="1" x14ac:dyDescent="0.3">
      <c r="A14" s="33"/>
      <c r="B14" s="350" t="s">
        <v>42</v>
      </c>
      <c r="C14" s="148" t="s">
        <v>7</v>
      </c>
      <c r="D14" s="109"/>
      <c r="E14" s="147">
        <v>1</v>
      </c>
      <c r="F14" s="149">
        <f>'Deslocamento Terrestre'!$H$13</f>
        <v>0</v>
      </c>
      <c r="G14" s="107">
        <f>D14*E14*F14</f>
        <v>0</v>
      </c>
      <c r="H14" s="352"/>
      <c r="I14" s="33"/>
    </row>
    <row r="15" spans="1:10" s="29" customFormat="1" x14ac:dyDescent="0.3">
      <c r="A15" s="33"/>
      <c r="B15" s="350" t="s">
        <v>191</v>
      </c>
      <c r="C15" s="148" t="s">
        <v>7</v>
      </c>
      <c r="D15" s="109"/>
      <c r="E15" s="147">
        <v>1</v>
      </c>
      <c r="F15" s="149">
        <f>'Deslocamento Hidroviário'!$H$12</f>
        <v>0</v>
      </c>
      <c r="G15" s="107">
        <f>D15*E15*F15</f>
        <v>0</v>
      </c>
      <c r="H15" s="352"/>
      <c r="I15" s="33"/>
    </row>
    <row r="16" spans="1:10" s="29" customFormat="1" x14ac:dyDescent="0.3">
      <c r="A16" s="33"/>
      <c r="B16" s="350" t="str">
        <f>PA!B16</f>
        <v>Audiência Municipal</v>
      </c>
      <c r="C16" s="148" t="s">
        <v>7</v>
      </c>
      <c r="D16" s="148"/>
      <c r="E16" s="147">
        <v>1</v>
      </c>
      <c r="F16" s="149">
        <f>'Audiência Municipal'!$G$21</f>
        <v>0</v>
      </c>
      <c r="G16" s="107">
        <f>D16*E16*F16</f>
        <v>0</v>
      </c>
      <c r="H16" s="353"/>
      <c r="I16" s="33"/>
    </row>
    <row r="17" spans="1:9" s="29" customFormat="1" x14ac:dyDescent="0.3">
      <c r="A17" s="33"/>
      <c r="B17" s="346" t="s">
        <v>109</v>
      </c>
      <c r="C17" s="242" t="s">
        <v>5</v>
      </c>
      <c r="D17" s="242" t="s">
        <v>16</v>
      </c>
      <c r="E17" s="242" t="s">
        <v>59</v>
      </c>
      <c r="F17" s="242" t="s">
        <v>36</v>
      </c>
      <c r="G17" s="242" t="s">
        <v>4</v>
      </c>
      <c r="H17" s="347" t="s">
        <v>37</v>
      </c>
      <c r="I17" s="33"/>
    </row>
    <row r="18" spans="1:9" s="29" customFormat="1" x14ac:dyDescent="0.3">
      <c r="A18" s="33"/>
      <c r="B18" s="350" t="s">
        <v>110</v>
      </c>
      <c r="C18" s="148" t="s">
        <v>7</v>
      </c>
      <c r="D18" s="148"/>
      <c r="E18" s="147">
        <v>1</v>
      </c>
      <c r="F18" s="149"/>
      <c r="G18" s="107">
        <f>D18*E18*F18</f>
        <v>0</v>
      </c>
      <c r="H18" s="351"/>
      <c r="I18" s="33"/>
    </row>
    <row r="19" spans="1:9" s="29" customFormat="1" x14ac:dyDescent="0.3">
      <c r="A19" s="33"/>
      <c r="B19" s="350" t="s">
        <v>111</v>
      </c>
      <c r="C19" s="148" t="s">
        <v>7</v>
      </c>
      <c r="D19" s="148"/>
      <c r="E19" s="147">
        <v>1</v>
      </c>
      <c r="F19" s="149"/>
      <c r="G19" s="107">
        <f>D19*E19*F19</f>
        <v>0</v>
      </c>
      <c r="H19" s="351"/>
      <c r="I19" s="33"/>
    </row>
    <row r="20" spans="1:9" s="29" customFormat="1" ht="30" x14ac:dyDescent="0.3">
      <c r="A20" s="33"/>
      <c r="B20" s="350" t="s">
        <v>33</v>
      </c>
      <c r="C20" s="148" t="s">
        <v>7</v>
      </c>
      <c r="D20" s="148"/>
      <c r="E20" s="147">
        <v>1</v>
      </c>
      <c r="F20" s="149"/>
      <c r="G20" s="107">
        <f>D20*E20*F20</f>
        <v>0</v>
      </c>
      <c r="H20" s="351"/>
      <c r="I20" s="33"/>
    </row>
    <row r="21" spans="1:9" s="29" customFormat="1" x14ac:dyDescent="0.3">
      <c r="A21" s="33"/>
      <c r="B21" s="350"/>
      <c r="C21" s="148"/>
      <c r="D21" s="148"/>
      <c r="E21" s="147"/>
      <c r="F21" s="149"/>
      <c r="G21" s="107"/>
      <c r="H21" s="351"/>
      <c r="I21" s="33"/>
    </row>
    <row r="22" spans="1:9" x14ac:dyDescent="0.3">
      <c r="A22" s="5"/>
      <c r="B22" s="346" t="s">
        <v>64</v>
      </c>
      <c r="C22" s="242" t="s">
        <v>5</v>
      </c>
      <c r="D22" s="242" t="s">
        <v>16</v>
      </c>
      <c r="E22" s="242" t="s">
        <v>59</v>
      </c>
      <c r="F22" s="242" t="s">
        <v>36</v>
      </c>
      <c r="G22" s="242" t="s">
        <v>4</v>
      </c>
      <c r="H22" s="347" t="s">
        <v>37</v>
      </c>
      <c r="I22" s="6"/>
    </row>
    <row r="23" spans="1:9" x14ac:dyDescent="0.3">
      <c r="A23" s="5"/>
      <c r="B23" s="354"/>
      <c r="C23" s="141"/>
      <c r="D23" s="109"/>
      <c r="E23" s="147">
        <v>1</v>
      </c>
      <c r="F23" s="149"/>
      <c r="G23" s="107">
        <f t="shared" ref="G23:G26" si="0">D23*E23*F23</f>
        <v>0</v>
      </c>
      <c r="H23" s="351"/>
      <c r="I23" s="6"/>
    </row>
    <row r="24" spans="1:9" x14ac:dyDescent="0.3">
      <c r="A24" s="5"/>
      <c r="B24" s="355"/>
      <c r="C24" s="141"/>
      <c r="D24" s="109"/>
      <c r="E24" s="147">
        <v>1</v>
      </c>
      <c r="F24" s="149"/>
      <c r="G24" s="107">
        <f t="shared" si="0"/>
        <v>0</v>
      </c>
      <c r="H24" s="351"/>
      <c r="I24" s="6"/>
    </row>
    <row r="25" spans="1:9" x14ac:dyDescent="0.3">
      <c r="A25" s="5"/>
      <c r="B25" s="355"/>
      <c r="C25" s="141"/>
      <c r="D25" s="109"/>
      <c r="E25" s="147">
        <v>1</v>
      </c>
      <c r="F25" s="149"/>
      <c r="G25" s="107">
        <f t="shared" si="0"/>
        <v>0</v>
      </c>
      <c r="H25" s="351"/>
      <c r="I25" s="6"/>
    </row>
    <row r="26" spans="1:9" x14ac:dyDescent="0.3">
      <c r="A26" s="5"/>
      <c r="B26" s="355"/>
      <c r="C26" s="141"/>
      <c r="D26" s="109"/>
      <c r="E26" s="147">
        <v>1</v>
      </c>
      <c r="F26" s="149"/>
      <c r="G26" s="107">
        <f t="shared" si="0"/>
        <v>0</v>
      </c>
      <c r="H26" s="351"/>
      <c r="I26" s="6"/>
    </row>
    <row r="27" spans="1:9" ht="33" customHeight="1" x14ac:dyDescent="0.3">
      <c r="A27" s="5"/>
      <c r="B27" s="346" t="s">
        <v>35</v>
      </c>
      <c r="C27" s="242" t="s">
        <v>5</v>
      </c>
      <c r="D27" s="242" t="s">
        <v>16</v>
      </c>
      <c r="E27" s="242" t="s">
        <v>59</v>
      </c>
      <c r="F27" s="242" t="s">
        <v>36</v>
      </c>
      <c r="G27" s="242" t="s">
        <v>4</v>
      </c>
      <c r="H27" s="347" t="s">
        <v>37</v>
      </c>
      <c r="I27" s="6"/>
    </row>
    <row r="28" spans="1:9" x14ac:dyDescent="0.3">
      <c r="A28" s="5"/>
      <c r="B28" s="355"/>
      <c r="C28" s="150"/>
      <c r="D28" s="150"/>
      <c r="E28" s="147">
        <v>1</v>
      </c>
      <c r="F28" s="149"/>
      <c r="G28" s="107">
        <f t="shared" ref="G28:G30" si="1">D28*E28*F28</f>
        <v>0</v>
      </c>
      <c r="H28" s="356"/>
      <c r="I28" s="6"/>
    </row>
    <row r="29" spans="1:9" x14ac:dyDescent="0.3">
      <c r="A29" s="5"/>
      <c r="B29" s="355"/>
      <c r="C29" s="141"/>
      <c r="D29" s="109"/>
      <c r="E29" s="147">
        <v>1</v>
      </c>
      <c r="F29" s="149"/>
      <c r="G29" s="107">
        <f t="shared" si="1"/>
        <v>0</v>
      </c>
      <c r="H29" s="351"/>
      <c r="I29" s="6"/>
    </row>
    <row r="30" spans="1:9" x14ac:dyDescent="0.3">
      <c r="A30" s="5"/>
      <c r="B30" s="357"/>
      <c r="C30" s="358"/>
      <c r="D30" s="320"/>
      <c r="E30" s="359">
        <v>1</v>
      </c>
      <c r="F30" s="360"/>
      <c r="G30" s="322">
        <f t="shared" si="1"/>
        <v>0</v>
      </c>
      <c r="H30" s="361"/>
      <c r="I30" s="6"/>
    </row>
    <row r="31" spans="1:9" ht="33" customHeight="1" x14ac:dyDescent="0.3">
      <c r="A31" s="43"/>
      <c r="B31" s="362" t="s">
        <v>68</v>
      </c>
      <c r="C31" s="363"/>
      <c r="D31" s="363"/>
      <c r="E31" s="363"/>
      <c r="F31" s="363"/>
      <c r="G31" s="364">
        <f>SUM(G13:G16)+SUM(G9:G11)+SUM(G18:G21)+SUM(G23:G26)+SUM(G28:G30)</f>
        <v>0</v>
      </c>
      <c r="H31" s="365" t="s">
        <v>37</v>
      </c>
    </row>
    <row r="32" spans="1:9" x14ac:dyDescent="0.3">
      <c r="A32" s="43"/>
      <c r="C32" s="43"/>
      <c r="D32" s="43"/>
    </row>
  </sheetData>
  <mergeCells count="2">
    <mergeCell ref="B2:H4"/>
    <mergeCell ref="B5:H6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3" workbookViewId="0">
      <selection activeCell="G30" sqref="G30"/>
    </sheetView>
  </sheetViews>
  <sheetFormatPr defaultRowHeight="16.5" x14ac:dyDescent="0.3"/>
  <cols>
    <col min="1" max="1" width="6.7109375" style="13" customWidth="1"/>
    <col min="2" max="2" width="66" style="1" customWidth="1"/>
    <col min="3" max="4" width="15" style="13" customWidth="1"/>
    <col min="5" max="5" width="15" style="43" customWidth="1"/>
    <col min="6" max="6" width="15" style="1" customWidth="1"/>
    <col min="7" max="7" width="21.7109375" style="1" customWidth="1"/>
    <col min="8" max="8" width="32.28515625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9" x14ac:dyDescent="0.3">
      <c r="A1" s="43"/>
      <c r="C1" s="43"/>
      <c r="D1" s="43"/>
    </row>
    <row r="2" spans="1:9" ht="16.5" customHeight="1" x14ac:dyDescent="0.3">
      <c r="A2" s="43"/>
      <c r="B2" s="497" t="str">
        <f>CONCATENATE("Produto G - ",'Dados Gerais do Município'!$D$8)</f>
        <v>Produto G - Exemplo</v>
      </c>
      <c r="C2" s="498"/>
      <c r="D2" s="498"/>
      <c r="E2" s="498"/>
      <c r="F2" s="498"/>
      <c r="G2" s="498"/>
      <c r="H2" s="499"/>
    </row>
    <row r="3" spans="1:9" ht="16.5" customHeight="1" x14ac:dyDescent="0.3">
      <c r="A3" s="43"/>
      <c r="B3" s="534"/>
      <c r="C3" s="535"/>
      <c r="D3" s="535"/>
      <c r="E3" s="535"/>
      <c r="F3" s="535"/>
      <c r="G3" s="535"/>
      <c r="H3" s="536"/>
    </row>
    <row r="4" spans="1:9" ht="16.5" customHeight="1" x14ac:dyDescent="0.3">
      <c r="A4" s="43"/>
      <c r="B4" s="534"/>
      <c r="C4" s="535"/>
      <c r="D4" s="535"/>
      <c r="E4" s="535"/>
      <c r="F4" s="535"/>
      <c r="G4" s="535"/>
      <c r="H4" s="536"/>
    </row>
    <row r="5" spans="1:9" ht="45" customHeight="1" x14ac:dyDescent="0.3">
      <c r="A5" s="43"/>
      <c r="B5" s="543" t="s">
        <v>338</v>
      </c>
      <c r="C5" s="544"/>
      <c r="D5" s="544"/>
      <c r="E5" s="544"/>
      <c r="F5" s="544"/>
      <c r="G5" s="544"/>
      <c r="H5" s="545"/>
    </row>
    <row r="6" spans="1:9" ht="52.5" customHeight="1" x14ac:dyDescent="0.3">
      <c r="A6" s="43"/>
      <c r="B6" s="546"/>
      <c r="C6" s="547"/>
      <c r="D6" s="547"/>
      <c r="E6" s="547"/>
      <c r="F6" s="547"/>
      <c r="G6" s="547"/>
      <c r="H6" s="548"/>
    </row>
    <row r="7" spans="1:9" ht="22.5" customHeight="1" x14ac:dyDescent="0.3">
      <c r="A7" s="43"/>
      <c r="C7" s="34"/>
      <c r="D7" s="34"/>
      <c r="E7" s="34"/>
      <c r="F7" s="36"/>
      <c r="G7" s="36"/>
    </row>
    <row r="8" spans="1:9" ht="31.5" x14ac:dyDescent="0.3">
      <c r="A8" s="43"/>
      <c r="B8" s="272" t="s">
        <v>62</v>
      </c>
      <c r="C8" s="273" t="s">
        <v>5</v>
      </c>
      <c r="D8" s="273" t="s">
        <v>16</v>
      </c>
      <c r="E8" s="273" t="s">
        <v>59</v>
      </c>
      <c r="F8" s="273" t="s">
        <v>36</v>
      </c>
      <c r="G8" s="273" t="s">
        <v>4</v>
      </c>
      <c r="H8" s="274" t="s">
        <v>37</v>
      </c>
      <c r="I8" s="14"/>
    </row>
    <row r="9" spans="1:9" x14ac:dyDescent="0.3">
      <c r="A9" s="5"/>
      <c r="B9" s="350" t="s">
        <v>26</v>
      </c>
      <c r="C9" s="148" t="s">
        <v>6</v>
      </c>
      <c r="D9" s="148">
        <f>'Distribuição Custos FIXOS'!$M$13</f>
        <v>2</v>
      </c>
      <c r="E9" s="153">
        <f>'Distribuição Custos FIXOS'!N13</f>
        <v>0.14958333333333335</v>
      </c>
      <c r="F9" s="145">
        <f>IF('Distribuição Custos FIXOS'!D19="SINAPI",'Equipe Técnica Permanente'!H11,'Equipe Técnica Permanente'!I11)</f>
        <v>0</v>
      </c>
      <c r="G9" s="146">
        <f>D9*E9*F9</f>
        <v>0</v>
      </c>
      <c r="H9" s="366"/>
      <c r="I9" s="6"/>
    </row>
    <row r="10" spans="1:9" x14ac:dyDescent="0.3">
      <c r="A10" s="5"/>
      <c r="B10" s="350" t="s">
        <v>27</v>
      </c>
      <c r="C10" s="148" t="s">
        <v>6</v>
      </c>
      <c r="D10" s="148">
        <f>'Distribuição Custos FIXOS'!$M$13</f>
        <v>2</v>
      </c>
      <c r="E10" s="153">
        <f>E9</f>
        <v>0.14958333333333335</v>
      </c>
      <c r="F10" s="145">
        <f>IF('Distribuição Custos FIXOS'!D19="SINAPI",'Equipe Técnica Permanente'!H18,'Equipe Técnica Permanente'!I18)</f>
        <v>0</v>
      </c>
      <c r="G10" s="146">
        <f>D10*E10*F10</f>
        <v>0</v>
      </c>
      <c r="H10" s="366"/>
      <c r="I10" s="6"/>
    </row>
    <row r="11" spans="1:9" s="29" customFormat="1" x14ac:dyDescent="0.3">
      <c r="A11" s="33"/>
      <c r="B11" s="350" t="s">
        <v>105</v>
      </c>
      <c r="C11" s="140" t="s">
        <v>6</v>
      </c>
      <c r="D11" s="148">
        <f>'Distribuição Custos FIXOS'!$M$13</f>
        <v>2</v>
      </c>
      <c r="E11" s="367">
        <f>E9</f>
        <v>0.14958333333333335</v>
      </c>
      <c r="F11" s="145">
        <f>'Estrutura de apoio'!G15</f>
        <v>0</v>
      </c>
      <c r="G11" s="146">
        <f>D11*E11*F11</f>
        <v>0</v>
      </c>
      <c r="H11" s="366"/>
      <c r="I11" s="33"/>
    </row>
    <row r="12" spans="1:9" s="29" customFormat="1" ht="31.5" x14ac:dyDescent="0.3">
      <c r="A12" s="33"/>
      <c r="B12" s="346" t="s">
        <v>63</v>
      </c>
      <c r="C12" s="242" t="s">
        <v>5</v>
      </c>
      <c r="D12" s="242" t="s">
        <v>16</v>
      </c>
      <c r="E12" s="242" t="s">
        <v>59</v>
      </c>
      <c r="F12" s="242" t="s">
        <v>36</v>
      </c>
      <c r="G12" s="242" t="s">
        <v>4</v>
      </c>
      <c r="H12" s="347" t="s">
        <v>37</v>
      </c>
      <c r="I12" s="33"/>
    </row>
    <row r="13" spans="1:9" s="29" customFormat="1" x14ac:dyDescent="0.3">
      <c r="A13" s="33"/>
      <c r="B13" s="350" t="s">
        <v>160</v>
      </c>
      <c r="C13" s="141" t="s">
        <v>7</v>
      </c>
      <c r="D13" s="109"/>
      <c r="E13" s="147">
        <v>1</v>
      </c>
      <c r="F13" s="107">
        <f>'Mobil. e Participação Social'!$H$21</f>
        <v>0</v>
      </c>
      <c r="G13" s="107">
        <f>D13*E13*F13</f>
        <v>0</v>
      </c>
      <c r="H13" s="353"/>
      <c r="I13" s="33"/>
    </row>
    <row r="14" spans="1:9" s="29" customFormat="1" x14ac:dyDescent="0.3">
      <c r="A14" s="33"/>
      <c r="B14" s="350" t="s">
        <v>42</v>
      </c>
      <c r="C14" s="148" t="s">
        <v>7</v>
      </c>
      <c r="D14" s="109"/>
      <c r="E14" s="147">
        <v>1</v>
      </c>
      <c r="F14" s="149">
        <f>'Deslocamento Terrestre'!$H$13</f>
        <v>0</v>
      </c>
      <c r="G14" s="107">
        <f>D14*E14*F14</f>
        <v>0</v>
      </c>
      <c r="H14" s="353"/>
      <c r="I14" s="33"/>
    </row>
    <row r="15" spans="1:9" s="29" customFormat="1" x14ac:dyDescent="0.3">
      <c r="A15" s="33"/>
      <c r="B15" s="350" t="s">
        <v>191</v>
      </c>
      <c r="C15" s="148" t="s">
        <v>7</v>
      </c>
      <c r="D15" s="109"/>
      <c r="E15" s="147">
        <v>1</v>
      </c>
      <c r="F15" s="149">
        <f>'Deslocamento Hidroviário'!$H$12</f>
        <v>0</v>
      </c>
      <c r="G15" s="107">
        <f>D15*E15*F15</f>
        <v>0</v>
      </c>
      <c r="H15" s="353"/>
      <c r="I15" s="33"/>
    </row>
    <row r="16" spans="1:9" s="29" customFormat="1" x14ac:dyDescent="0.3">
      <c r="A16" s="33"/>
      <c r="B16" s="350" t="str">
        <f>PA!B16</f>
        <v>Audiência Municipal</v>
      </c>
      <c r="C16" s="148" t="s">
        <v>7</v>
      </c>
      <c r="D16" s="148"/>
      <c r="E16" s="147">
        <v>1</v>
      </c>
      <c r="F16" s="149">
        <f>'Audiência Municipal'!$G$21</f>
        <v>0</v>
      </c>
      <c r="G16" s="107">
        <f>D16*E16*F16</f>
        <v>0</v>
      </c>
      <c r="H16" s="366"/>
      <c r="I16" s="33"/>
    </row>
    <row r="17" spans="1:9" s="29" customFormat="1" ht="31.5" x14ac:dyDescent="0.3">
      <c r="A17" s="33"/>
      <c r="B17" s="346" t="s">
        <v>109</v>
      </c>
      <c r="C17" s="242" t="s">
        <v>5</v>
      </c>
      <c r="D17" s="242" t="s">
        <v>16</v>
      </c>
      <c r="E17" s="242" t="s">
        <v>59</v>
      </c>
      <c r="F17" s="242" t="s">
        <v>36</v>
      </c>
      <c r="G17" s="242" t="s">
        <v>4</v>
      </c>
      <c r="H17" s="347" t="s">
        <v>37</v>
      </c>
      <c r="I17" s="33"/>
    </row>
    <row r="18" spans="1:9" s="29" customFormat="1" x14ac:dyDescent="0.3">
      <c r="A18" s="33"/>
      <c r="B18" s="346"/>
      <c r="C18" s="242"/>
      <c r="D18" s="242"/>
      <c r="E18" s="242"/>
      <c r="F18" s="242"/>
      <c r="G18" s="242"/>
      <c r="H18" s="347"/>
      <c r="I18" s="33"/>
    </row>
    <row r="19" spans="1:9" s="29" customFormat="1" x14ac:dyDescent="0.3">
      <c r="A19" s="33"/>
      <c r="B19" s="350" t="s">
        <v>110</v>
      </c>
      <c r="C19" s="148" t="s">
        <v>7</v>
      </c>
      <c r="D19" s="148"/>
      <c r="E19" s="147">
        <v>1</v>
      </c>
      <c r="F19" s="149"/>
      <c r="G19" s="107">
        <f>D19*E19*F19</f>
        <v>0</v>
      </c>
      <c r="H19" s="366"/>
      <c r="I19" s="33"/>
    </row>
    <row r="20" spans="1:9" s="29" customFormat="1" x14ac:dyDescent="0.3">
      <c r="A20" s="33"/>
      <c r="B20" s="350" t="s">
        <v>111</v>
      </c>
      <c r="C20" s="148" t="s">
        <v>7</v>
      </c>
      <c r="D20" s="148"/>
      <c r="E20" s="147">
        <v>1</v>
      </c>
      <c r="F20" s="149"/>
      <c r="G20" s="107">
        <f>D20*E20*F20</f>
        <v>0</v>
      </c>
      <c r="H20" s="366"/>
      <c r="I20" s="33"/>
    </row>
    <row r="21" spans="1:9" s="29" customFormat="1" ht="30" x14ac:dyDescent="0.3">
      <c r="A21" s="33"/>
      <c r="B21" s="350" t="s">
        <v>33</v>
      </c>
      <c r="C21" s="148" t="s">
        <v>7</v>
      </c>
      <c r="D21" s="148"/>
      <c r="E21" s="147">
        <v>1</v>
      </c>
      <c r="F21" s="149"/>
      <c r="G21" s="107">
        <f>D21*E21*F21</f>
        <v>0</v>
      </c>
      <c r="H21" s="366"/>
      <c r="I21" s="33"/>
    </row>
    <row r="22" spans="1:9" s="29" customFormat="1" x14ac:dyDescent="0.3">
      <c r="A22" s="33"/>
      <c r="B22" s="350"/>
      <c r="C22" s="148"/>
      <c r="D22" s="109"/>
      <c r="E22" s="147"/>
      <c r="F22" s="149"/>
      <c r="G22" s="107"/>
      <c r="H22" s="366"/>
      <c r="I22" s="33"/>
    </row>
    <row r="23" spans="1:9" ht="31.5" x14ac:dyDescent="0.3">
      <c r="A23" s="5"/>
      <c r="B23" s="346" t="s">
        <v>64</v>
      </c>
      <c r="C23" s="242" t="s">
        <v>5</v>
      </c>
      <c r="D23" s="242" t="s">
        <v>16</v>
      </c>
      <c r="E23" s="242" t="s">
        <v>59</v>
      </c>
      <c r="F23" s="242" t="s">
        <v>36</v>
      </c>
      <c r="G23" s="242" t="s">
        <v>4</v>
      </c>
      <c r="H23" s="347" t="s">
        <v>37</v>
      </c>
      <c r="I23" s="6"/>
    </row>
    <row r="24" spans="1:9" x14ac:dyDescent="0.3">
      <c r="A24" s="5"/>
      <c r="B24" s="350"/>
      <c r="C24" s="148"/>
      <c r="D24" s="109"/>
      <c r="E24" s="147">
        <v>1</v>
      </c>
      <c r="F24" s="149"/>
      <c r="G24" s="107">
        <f t="shared" ref="G24:G27" si="0">D24*E24*F24</f>
        <v>0</v>
      </c>
      <c r="H24" s="317"/>
      <c r="I24" s="6"/>
    </row>
    <row r="25" spans="1:9" x14ac:dyDescent="0.3">
      <c r="A25" s="5"/>
      <c r="B25" s="355"/>
      <c r="C25" s="148"/>
      <c r="D25" s="109"/>
      <c r="E25" s="147">
        <v>1</v>
      </c>
      <c r="F25" s="149"/>
      <c r="G25" s="107">
        <f t="shared" si="0"/>
        <v>0</v>
      </c>
      <c r="H25" s="351"/>
      <c r="I25" s="6"/>
    </row>
    <row r="26" spans="1:9" x14ac:dyDescent="0.3">
      <c r="A26" s="5"/>
      <c r="B26" s="355"/>
      <c r="C26" s="148"/>
      <c r="D26" s="109"/>
      <c r="E26" s="147">
        <v>1</v>
      </c>
      <c r="F26" s="149"/>
      <c r="G26" s="107">
        <f t="shared" si="0"/>
        <v>0</v>
      </c>
      <c r="H26" s="351"/>
      <c r="I26" s="6"/>
    </row>
    <row r="27" spans="1:9" x14ac:dyDescent="0.3">
      <c r="A27" s="43"/>
      <c r="B27" s="355"/>
      <c r="C27" s="148"/>
      <c r="D27" s="109"/>
      <c r="E27" s="147">
        <v>1</v>
      </c>
      <c r="F27" s="149"/>
      <c r="G27" s="107">
        <f t="shared" si="0"/>
        <v>0</v>
      </c>
      <c r="H27" s="351"/>
    </row>
    <row r="28" spans="1:9" ht="33" customHeight="1" x14ac:dyDescent="0.3">
      <c r="A28" s="43"/>
      <c r="B28" s="346" t="s">
        <v>35</v>
      </c>
      <c r="C28" s="242" t="s">
        <v>5</v>
      </c>
      <c r="D28" s="242" t="s">
        <v>16</v>
      </c>
      <c r="E28" s="242" t="s">
        <v>59</v>
      </c>
      <c r="F28" s="242" t="s">
        <v>36</v>
      </c>
      <c r="G28" s="242" t="s">
        <v>4</v>
      </c>
      <c r="H28" s="347" t="s">
        <v>37</v>
      </c>
    </row>
    <row r="29" spans="1:9" x14ac:dyDescent="0.3">
      <c r="A29" s="43"/>
      <c r="B29" s="368"/>
      <c r="C29" s="148"/>
      <c r="D29" s="109"/>
      <c r="E29" s="147">
        <v>1</v>
      </c>
      <c r="F29" s="149"/>
      <c r="G29" s="107">
        <f t="shared" ref="G29:G31" si="1">D29*E29*F29</f>
        <v>0</v>
      </c>
      <c r="H29" s="351"/>
    </row>
    <row r="30" spans="1:9" x14ac:dyDescent="0.3">
      <c r="A30" s="43"/>
      <c r="B30" s="368"/>
      <c r="C30" s="148"/>
      <c r="D30" s="109"/>
      <c r="E30" s="147">
        <v>1</v>
      </c>
      <c r="F30" s="149"/>
      <c r="G30" s="107">
        <f t="shared" si="1"/>
        <v>0</v>
      </c>
      <c r="H30" s="351"/>
    </row>
    <row r="31" spans="1:9" x14ac:dyDescent="0.3">
      <c r="A31" s="43"/>
      <c r="B31" s="369"/>
      <c r="C31" s="370"/>
      <c r="D31" s="320"/>
      <c r="E31" s="359">
        <v>1</v>
      </c>
      <c r="F31" s="360"/>
      <c r="G31" s="322">
        <f t="shared" si="1"/>
        <v>0</v>
      </c>
      <c r="H31" s="361"/>
    </row>
    <row r="32" spans="1:9" ht="32.25" customHeight="1" x14ac:dyDescent="0.3">
      <c r="A32" s="43"/>
      <c r="B32" s="371" t="s">
        <v>69</v>
      </c>
      <c r="C32" s="372"/>
      <c r="D32" s="372"/>
      <c r="E32" s="372"/>
      <c r="F32" s="372"/>
      <c r="G32" s="373">
        <f>SUM(G13:G16)+SUM(G9:G11)+SUM(G19:G22)+SUM(G24:G27)+SUM(G29:G31)</f>
        <v>0</v>
      </c>
      <c r="H32" s="374" t="s">
        <v>37</v>
      </c>
    </row>
  </sheetData>
  <mergeCells count="2">
    <mergeCell ref="B2:H4"/>
    <mergeCell ref="B5:H6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0"/>
  <sheetViews>
    <sheetView topLeftCell="B1" workbookViewId="0">
      <selection activeCell="E34" sqref="E34"/>
    </sheetView>
  </sheetViews>
  <sheetFormatPr defaultRowHeight="16.5" x14ac:dyDescent="0.3"/>
  <cols>
    <col min="1" max="1" width="6.7109375" style="13" customWidth="1"/>
    <col min="2" max="2" width="66" style="1" customWidth="1"/>
    <col min="3" max="3" width="8.5703125" style="13" customWidth="1"/>
    <col min="4" max="4" width="10.85546875" style="13" customWidth="1"/>
    <col min="5" max="5" width="10.85546875" style="43" customWidth="1"/>
    <col min="6" max="6" width="14.140625" style="1" customWidth="1"/>
    <col min="7" max="7" width="12.85546875" style="1" customWidth="1"/>
    <col min="8" max="8" width="32.28515625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9" ht="16.5" customHeight="1" x14ac:dyDescent="0.3">
      <c r="A1" s="43"/>
      <c r="B1" s="549" t="str">
        <f>CONCATENATE("Produto H - ",'Dados Gerais do Município'!$D$8)</f>
        <v>Produto H - Exemplo</v>
      </c>
      <c r="C1" s="549"/>
      <c r="D1" s="549"/>
      <c r="E1" s="549"/>
      <c r="F1" s="549"/>
      <c r="G1" s="549"/>
      <c r="H1" s="549"/>
    </row>
    <row r="2" spans="1:9" ht="16.5" customHeight="1" x14ac:dyDescent="0.3">
      <c r="A2" s="43"/>
      <c r="B2" s="549"/>
      <c r="C2" s="549"/>
      <c r="D2" s="549"/>
      <c r="E2" s="549"/>
      <c r="F2" s="549"/>
      <c r="G2" s="549"/>
      <c r="H2" s="549"/>
    </row>
    <row r="3" spans="1:9" x14ac:dyDescent="0.3">
      <c r="A3" s="43"/>
      <c r="B3" s="549"/>
      <c r="C3" s="549"/>
      <c r="D3" s="549"/>
      <c r="E3" s="549"/>
      <c r="F3" s="549"/>
      <c r="G3" s="549"/>
      <c r="H3" s="549"/>
    </row>
    <row r="4" spans="1:9" ht="16.5" customHeight="1" x14ac:dyDescent="0.3">
      <c r="A4" s="43"/>
      <c r="B4" s="550" t="s">
        <v>148</v>
      </c>
      <c r="C4" s="550"/>
      <c r="D4" s="550"/>
      <c r="E4" s="550"/>
      <c r="F4" s="550"/>
      <c r="G4" s="550"/>
      <c r="H4" s="550"/>
    </row>
    <row r="5" spans="1:9" x14ac:dyDescent="0.3">
      <c r="A5" s="43"/>
      <c r="B5" s="550"/>
      <c r="C5" s="550"/>
      <c r="D5" s="550"/>
      <c r="E5" s="550"/>
      <c r="F5" s="550"/>
      <c r="G5" s="550"/>
      <c r="H5" s="550"/>
    </row>
    <row r="6" spans="1:9" ht="22.5" customHeight="1" x14ac:dyDescent="0.3">
      <c r="C6" s="34"/>
      <c r="D6" s="34"/>
      <c r="E6" s="34"/>
      <c r="F6" s="36"/>
      <c r="G6" s="36"/>
    </row>
    <row r="7" spans="1:9" ht="33" x14ac:dyDescent="0.3">
      <c r="B7" s="16" t="s">
        <v>62</v>
      </c>
      <c r="C7" s="16" t="s">
        <v>5</v>
      </c>
      <c r="D7" s="16" t="s">
        <v>16</v>
      </c>
      <c r="E7" s="16" t="s">
        <v>59</v>
      </c>
      <c r="F7" s="16" t="s">
        <v>36</v>
      </c>
      <c r="G7" s="16" t="s">
        <v>4</v>
      </c>
      <c r="H7" s="16" t="s">
        <v>37</v>
      </c>
      <c r="I7" s="14"/>
    </row>
    <row r="8" spans="1:9" x14ac:dyDescent="0.3">
      <c r="A8" s="5"/>
      <c r="B8" s="31" t="s">
        <v>26</v>
      </c>
      <c r="C8" s="37" t="s">
        <v>6</v>
      </c>
      <c r="D8" s="38">
        <v>4</v>
      </c>
      <c r="E8" s="51" t="e">
        <f>'Distribuição Custos FIXOS'!#REF!</f>
        <v>#REF!</v>
      </c>
      <c r="F8" s="40">
        <f>'Equipe Técnica Permanente'!H11</f>
        <v>0</v>
      </c>
      <c r="G8" s="35" t="e">
        <f>D8*E8*F8</f>
        <v>#REF!</v>
      </c>
      <c r="H8" s="41"/>
      <c r="I8" s="6"/>
    </row>
    <row r="9" spans="1:9" x14ac:dyDescent="0.3">
      <c r="A9" s="5"/>
      <c r="B9" s="31" t="s">
        <v>27</v>
      </c>
      <c r="C9" s="37" t="s">
        <v>6</v>
      </c>
      <c r="D9" s="38">
        <f>D8</f>
        <v>4</v>
      </c>
      <c r="E9" s="51" t="e">
        <f>E8</f>
        <v>#REF!</v>
      </c>
      <c r="F9" s="40">
        <f>'Equipe Técnica Permanente'!H18</f>
        <v>0</v>
      </c>
      <c r="G9" s="35" t="e">
        <f>D9*E9*F9</f>
        <v>#REF!</v>
      </c>
      <c r="H9" s="41"/>
      <c r="I9" s="6"/>
    </row>
    <row r="10" spans="1:9" s="29" customFormat="1" x14ac:dyDescent="0.3">
      <c r="A10" s="33"/>
      <c r="B10" s="31" t="s">
        <v>105</v>
      </c>
      <c r="C10" s="42" t="s">
        <v>6</v>
      </c>
      <c r="D10" s="15">
        <f>D9</f>
        <v>4</v>
      </c>
      <c r="E10" s="52" t="e">
        <f>E8</f>
        <v>#REF!</v>
      </c>
      <c r="F10" s="71">
        <f>'Estrutura de apoio'!G15</f>
        <v>0</v>
      </c>
      <c r="G10" s="35" t="e">
        <f>D10*E10*F10</f>
        <v>#REF!</v>
      </c>
      <c r="H10" s="41"/>
      <c r="I10" s="33"/>
    </row>
    <row r="11" spans="1:9" s="29" customFormat="1" ht="33" x14ac:dyDescent="0.3">
      <c r="A11" s="33"/>
      <c r="B11" s="16" t="s">
        <v>63</v>
      </c>
      <c r="C11" s="16" t="s">
        <v>5</v>
      </c>
      <c r="D11" s="16" t="s">
        <v>16</v>
      </c>
      <c r="E11" s="16" t="s">
        <v>59</v>
      </c>
      <c r="F11" s="16" t="s">
        <v>36</v>
      </c>
      <c r="G11" s="16" t="s">
        <v>4</v>
      </c>
      <c r="H11" s="16" t="s">
        <v>37</v>
      </c>
      <c r="I11" s="33"/>
    </row>
    <row r="12" spans="1:9" s="29" customFormat="1" x14ac:dyDescent="0.3">
      <c r="A12" s="33"/>
      <c r="B12" s="31" t="s">
        <v>160</v>
      </c>
      <c r="C12" s="32" t="s">
        <v>7</v>
      </c>
      <c r="D12" s="18"/>
      <c r="E12" s="53">
        <v>1</v>
      </c>
      <c r="F12" s="24">
        <f>'Mobil. e Participação Social'!$H$21</f>
        <v>0</v>
      </c>
      <c r="G12" s="24">
        <f>D12*E12*F12</f>
        <v>0</v>
      </c>
      <c r="H12" s="3"/>
      <c r="I12" s="33"/>
    </row>
    <row r="13" spans="1:9" s="29" customFormat="1" x14ac:dyDescent="0.3">
      <c r="A13" s="33"/>
      <c r="B13" s="31" t="s">
        <v>42</v>
      </c>
      <c r="C13" s="37" t="s">
        <v>7</v>
      </c>
      <c r="D13" s="18"/>
      <c r="E13" s="53">
        <v>1</v>
      </c>
      <c r="F13" s="48">
        <f>'Deslocamento Terrestre'!$H$13</f>
        <v>0</v>
      </c>
      <c r="G13" s="24">
        <f>D13*E13*F13</f>
        <v>0</v>
      </c>
      <c r="H13" s="3"/>
      <c r="I13" s="33"/>
    </row>
    <row r="14" spans="1:9" s="29" customFormat="1" x14ac:dyDescent="0.3">
      <c r="A14" s="33"/>
      <c r="B14" s="31" t="s">
        <v>191</v>
      </c>
      <c r="C14" s="37" t="s">
        <v>7</v>
      </c>
      <c r="D14" s="18"/>
      <c r="E14" s="53">
        <v>1</v>
      </c>
      <c r="F14" s="48">
        <f>'Deslocamento Hidroviário'!$H$12</f>
        <v>0</v>
      </c>
      <c r="G14" s="24">
        <f>D14*E14*F14</f>
        <v>0</v>
      </c>
      <c r="H14" s="3"/>
      <c r="I14" s="33"/>
    </row>
    <row r="15" spans="1:9" s="29" customFormat="1" x14ac:dyDescent="0.3">
      <c r="A15" s="33"/>
      <c r="B15" s="31" t="s">
        <v>159</v>
      </c>
      <c r="C15" s="37" t="s">
        <v>7</v>
      </c>
      <c r="D15" s="38"/>
      <c r="E15" s="53">
        <v>1</v>
      </c>
      <c r="F15" s="48">
        <f>'Audiência Municipal'!$G$21</f>
        <v>0</v>
      </c>
      <c r="G15" s="24">
        <f>D15*E15*F15</f>
        <v>0</v>
      </c>
      <c r="H15" s="41"/>
      <c r="I15" s="33"/>
    </row>
    <row r="16" spans="1:9" s="29" customFormat="1" ht="33" x14ac:dyDescent="0.3">
      <c r="A16" s="33"/>
      <c r="B16" s="16" t="s">
        <v>109</v>
      </c>
      <c r="C16" s="16" t="s">
        <v>5</v>
      </c>
      <c r="D16" s="16" t="s">
        <v>16</v>
      </c>
      <c r="E16" s="16" t="s">
        <v>59</v>
      </c>
      <c r="F16" s="16" t="s">
        <v>36</v>
      </c>
      <c r="G16" s="16" t="s">
        <v>4</v>
      </c>
      <c r="H16" s="16" t="s">
        <v>37</v>
      </c>
      <c r="I16" s="33"/>
    </row>
    <row r="17" spans="1:9" s="29" customFormat="1" x14ac:dyDescent="0.3">
      <c r="A17" s="33"/>
      <c r="B17" s="31" t="s">
        <v>110</v>
      </c>
      <c r="C17" s="37" t="s">
        <v>7</v>
      </c>
      <c r="D17" s="38"/>
      <c r="E17" s="53">
        <v>1</v>
      </c>
      <c r="F17" s="48"/>
      <c r="G17" s="24">
        <f>D17*E17*F17</f>
        <v>0</v>
      </c>
      <c r="H17" s="41"/>
      <c r="I17" s="33"/>
    </row>
    <row r="18" spans="1:9" s="29" customFormat="1" x14ac:dyDescent="0.3">
      <c r="A18" s="33"/>
      <c r="B18" s="31" t="s">
        <v>111</v>
      </c>
      <c r="C18" s="37" t="s">
        <v>7</v>
      </c>
      <c r="D18" s="38"/>
      <c r="E18" s="53">
        <v>1</v>
      </c>
      <c r="F18" s="48"/>
      <c r="G18" s="24">
        <f>D18*E18*F18</f>
        <v>0</v>
      </c>
      <c r="H18" s="41"/>
      <c r="I18" s="33"/>
    </row>
    <row r="19" spans="1:9" s="29" customFormat="1" x14ac:dyDescent="0.3">
      <c r="A19" s="33"/>
      <c r="B19" s="31" t="s">
        <v>33</v>
      </c>
      <c r="C19" s="37" t="s">
        <v>7</v>
      </c>
      <c r="D19" s="38"/>
      <c r="E19" s="53">
        <v>1</v>
      </c>
      <c r="F19" s="48"/>
      <c r="G19" s="24">
        <f>D19*E19*F19</f>
        <v>0</v>
      </c>
      <c r="H19" s="41"/>
      <c r="I19" s="33"/>
    </row>
    <row r="20" spans="1:9" s="29" customFormat="1" x14ac:dyDescent="0.3">
      <c r="A20" s="33"/>
      <c r="B20" s="31"/>
      <c r="C20" s="37"/>
      <c r="D20" s="18"/>
      <c r="E20" s="53"/>
      <c r="F20" s="48"/>
      <c r="G20" s="24"/>
      <c r="H20" s="41"/>
      <c r="I20" s="33"/>
    </row>
    <row r="21" spans="1:9" ht="33" x14ac:dyDescent="0.3">
      <c r="A21" s="5"/>
      <c r="B21" s="16" t="s">
        <v>64</v>
      </c>
      <c r="C21" s="16" t="s">
        <v>5</v>
      </c>
      <c r="D21" s="16" t="s">
        <v>16</v>
      </c>
      <c r="E21" s="16" t="s">
        <v>59</v>
      </c>
      <c r="F21" s="16" t="s">
        <v>36</v>
      </c>
      <c r="G21" s="16" t="s">
        <v>4</v>
      </c>
      <c r="H21" s="16" t="s">
        <v>37</v>
      </c>
      <c r="I21" s="6"/>
    </row>
    <row r="22" spans="1:9" x14ac:dyDescent="0.3">
      <c r="A22" s="5"/>
      <c r="B22" s="31"/>
      <c r="C22" s="37"/>
      <c r="D22" s="18"/>
      <c r="E22" s="53">
        <v>1</v>
      </c>
      <c r="F22" s="48"/>
      <c r="G22" s="24">
        <f t="shared" ref="G22:G25" si="0">D22*E22*F22</f>
        <v>0</v>
      </c>
      <c r="H22" s="24"/>
      <c r="I22" s="6"/>
    </row>
    <row r="23" spans="1:9" x14ac:dyDescent="0.3">
      <c r="A23" s="5"/>
      <c r="B23" s="30"/>
      <c r="C23" s="37"/>
      <c r="D23" s="18"/>
      <c r="E23" s="53">
        <v>1</v>
      </c>
      <c r="F23" s="48"/>
      <c r="G23" s="24">
        <f t="shared" si="0"/>
        <v>0</v>
      </c>
      <c r="H23" s="6"/>
      <c r="I23" s="6"/>
    </row>
    <row r="24" spans="1:9" x14ac:dyDescent="0.3">
      <c r="A24" s="5"/>
      <c r="B24" s="30"/>
      <c r="C24" s="37"/>
      <c r="D24" s="18"/>
      <c r="E24" s="53">
        <v>1</v>
      </c>
      <c r="F24" s="48"/>
      <c r="G24" s="24">
        <f t="shared" si="0"/>
        <v>0</v>
      </c>
      <c r="H24" s="6"/>
      <c r="I24" s="6"/>
    </row>
    <row r="25" spans="1:9" x14ac:dyDescent="0.3">
      <c r="B25" s="30"/>
      <c r="C25" s="37"/>
      <c r="D25" s="18"/>
      <c r="E25" s="53">
        <v>1</v>
      </c>
      <c r="F25" s="48"/>
      <c r="G25" s="24">
        <f t="shared" si="0"/>
        <v>0</v>
      </c>
      <c r="H25" s="6"/>
    </row>
    <row r="26" spans="1:9" ht="33" customHeight="1" x14ac:dyDescent="0.3">
      <c r="B26" s="16" t="s">
        <v>35</v>
      </c>
      <c r="C26" s="16" t="s">
        <v>5</v>
      </c>
      <c r="D26" s="16" t="s">
        <v>16</v>
      </c>
      <c r="E26" s="16" t="s">
        <v>59</v>
      </c>
      <c r="F26" s="16" t="s">
        <v>36</v>
      </c>
      <c r="G26" s="16" t="s">
        <v>4</v>
      </c>
      <c r="H26" s="16" t="s">
        <v>37</v>
      </c>
    </row>
    <row r="27" spans="1:9" x14ac:dyDescent="0.3">
      <c r="C27" s="37"/>
      <c r="D27" s="18"/>
      <c r="E27" s="53">
        <v>1</v>
      </c>
      <c r="F27" s="48"/>
      <c r="G27" s="24">
        <f t="shared" ref="G27:G29" si="1">D27*E27*F27</f>
        <v>0</v>
      </c>
    </row>
    <row r="28" spans="1:9" x14ac:dyDescent="0.3">
      <c r="C28" s="37"/>
      <c r="D28" s="18"/>
      <c r="E28" s="53">
        <v>1</v>
      </c>
      <c r="F28" s="48"/>
      <c r="G28" s="24">
        <f t="shared" si="1"/>
        <v>0</v>
      </c>
    </row>
    <row r="29" spans="1:9" x14ac:dyDescent="0.3">
      <c r="C29" s="37"/>
      <c r="D29" s="18"/>
      <c r="E29" s="53">
        <v>1</v>
      </c>
      <c r="F29" s="48"/>
      <c r="G29" s="24">
        <f t="shared" si="1"/>
        <v>0</v>
      </c>
    </row>
    <row r="30" spans="1:9" ht="33" customHeight="1" x14ac:dyDescent="0.3">
      <c r="B30" s="16" t="s">
        <v>70</v>
      </c>
      <c r="C30" s="16"/>
      <c r="D30" s="16"/>
      <c r="E30" s="16"/>
      <c r="F30" s="16"/>
      <c r="G30" s="47" t="e">
        <f>SUM(G12:G15)+SUM(G8:G10)+SUM(G17:G20)+SUM(G22:G25)+SUM(G27:G29)</f>
        <v>#REF!</v>
      </c>
      <c r="H30" s="16" t="s">
        <v>37</v>
      </c>
    </row>
  </sheetData>
  <mergeCells count="2">
    <mergeCell ref="B1:H3"/>
    <mergeCell ref="B4:H5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0"/>
  <sheetViews>
    <sheetView topLeftCell="B1" workbookViewId="0">
      <selection activeCell="E34" sqref="E34"/>
    </sheetView>
  </sheetViews>
  <sheetFormatPr defaultRowHeight="16.5" x14ac:dyDescent="0.3"/>
  <cols>
    <col min="1" max="1" width="6.7109375" style="13" customWidth="1"/>
    <col min="2" max="2" width="66" style="1" customWidth="1"/>
    <col min="3" max="3" width="8.5703125" style="13" customWidth="1"/>
    <col min="4" max="4" width="10.85546875" style="13" customWidth="1"/>
    <col min="5" max="5" width="10.85546875" style="43" customWidth="1"/>
    <col min="6" max="6" width="14.140625" style="1" customWidth="1"/>
    <col min="7" max="7" width="12.85546875" style="1" customWidth="1"/>
    <col min="8" max="8" width="32.28515625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9" ht="16.5" customHeight="1" x14ac:dyDescent="0.3">
      <c r="A1" s="43"/>
      <c r="B1" s="549" t="str">
        <f>CONCATENATE("Produto I - ",'Dados Gerais do Município'!$D$8)</f>
        <v>Produto I - Exemplo</v>
      </c>
      <c r="C1" s="549"/>
      <c r="D1" s="549"/>
      <c r="E1" s="549"/>
      <c r="F1" s="549"/>
      <c r="G1" s="549"/>
      <c r="H1" s="549"/>
    </row>
    <row r="2" spans="1:9" ht="16.5" customHeight="1" x14ac:dyDescent="0.3">
      <c r="A2" s="43"/>
      <c r="B2" s="549"/>
      <c r="C2" s="549"/>
      <c r="D2" s="549"/>
      <c r="E2" s="549"/>
      <c r="F2" s="549"/>
      <c r="G2" s="549"/>
      <c r="H2" s="549"/>
    </row>
    <row r="3" spans="1:9" x14ac:dyDescent="0.3">
      <c r="A3" s="43"/>
      <c r="B3" s="549"/>
      <c r="C3" s="549"/>
      <c r="D3" s="549"/>
      <c r="E3" s="549"/>
      <c r="F3" s="549"/>
      <c r="G3" s="549"/>
      <c r="H3" s="549"/>
    </row>
    <row r="4" spans="1:9" x14ac:dyDescent="0.3">
      <c r="A4" s="43"/>
      <c r="B4" s="550" t="s">
        <v>149</v>
      </c>
      <c r="C4" s="550"/>
      <c r="D4" s="550"/>
      <c r="E4" s="550"/>
      <c r="F4" s="550"/>
      <c r="G4" s="550"/>
      <c r="H4" s="550"/>
    </row>
    <row r="5" spans="1:9" x14ac:dyDescent="0.3">
      <c r="A5" s="43"/>
      <c r="B5" s="550"/>
      <c r="C5" s="550"/>
      <c r="D5" s="550"/>
      <c r="E5" s="550"/>
      <c r="F5" s="550"/>
      <c r="G5" s="550"/>
      <c r="H5" s="550"/>
    </row>
    <row r="6" spans="1:9" ht="22.5" customHeight="1" x14ac:dyDescent="0.3">
      <c r="C6" s="34"/>
      <c r="D6" s="34"/>
      <c r="E6" s="34"/>
      <c r="F6" s="36"/>
      <c r="G6" s="36"/>
    </row>
    <row r="7" spans="1:9" ht="33" x14ac:dyDescent="0.3">
      <c r="B7" s="16" t="s">
        <v>62</v>
      </c>
      <c r="C7" s="16" t="s">
        <v>5</v>
      </c>
      <c r="D7" s="16" t="s">
        <v>16</v>
      </c>
      <c r="E7" s="16" t="s">
        <v>59</v>
      </c>
      <c r="F7" s="16" t="s">
        <v>36</v>
      </c>
      <c r="G7" s="16" t="s">
        <v>4</v>
      </c>
      <c r="H7" s="16" t="s">
        <v>37</v>
      </c>
      <c r="I7" s="14"/>
    </row>
    <row r="8" spans="1:9" x14ac:dyDescent="0.3">
      <c r="A8" s="5"/>
      <c r="B8" s="31" t="s">
        <v>26</v>
      </c>
      <c r="C8" s="37" t="s">
        <v>6</v>
      </c>
      <c r="D8" s="38">
        <v>7</v>
      </c>
      <c r="E8" s="51" t="e">
        <f>'Distribuição Custos FIXOS'!#REF!</f>
        <v>#REF!</v>
      </c>
      <c r="F8" s="40">
        <f>'Equipe Técnica Permanente'!H11</f>
        <v>0</v>
      </c>
      <c r="G8" s="35" t="e">
        <f>D8*E8*F8</f>
        <v>#REF!</v>
      </c>
      <c r="H8" s="41"/>
      <c r="I8" s="6"/>
    </row>
    <row r="9" spans="1:9" x14ac:dyDescent="0.3">
      <c r="A9" s="5"/>
      <c r="B9" s="31" t="s">
        <v>27</v>
      </c>
      <c r="C9" s="37" t="s">
        <v>6</v>
      </c>
      <c r="D9" s="38">
        <v>7</v>
      </c>
      <c r="E9" s="51" t="e">
        <f>E8</f>
        <v>#REF!</v>
      </c>
      <c r="F9" s="40">
        <f>'Equipe Técnica Permanente'!H18</f>
        <v>0</v>
      </c>
      <c r="G9" s="35" t="e">
        <f>D9*E9*F9</f>
        <v>#REF!</v>
      </c>
      <c r="H9" s="41"/>
      <c r="I9" s="6"/>
    </row>
    <row r="10" spans="1:9" s="29" customFormat="1" x14ac:dyDescent="0.3">
      <c r="A10" s="33"/>
      <c r="B10" s="31" t="s">
        <v>105</v>
      </c>
      <c r="C10" s="42" t="s">
        <v>6</v>
      </c>
      <c r="D10" s="15">
        <v>7</v>
      </c>
      <c r="E10" s="52" t="e">
        <f>E8</f>
        <v>#REF!</v>
      </c>
      <c r="F10" s="72">
        <f>'Estrutura de apoio'!G15</f>
        <v>0</v>
      </c>
      <c r="G10" s="35" t="e">
        <f>D10*E10*F10</f>
        <v>#REF!</v>
      </c>
      <c r="H10" s="41"/>
      <c r="I10" s="33"/>
    </row>
    <row r="11" spans="1:9" s="29" customFormat="1" ht="33" x14ac:dyDescent="0.3">
      <c r="A11" s="33"/>
      <c r="B11" s="16" t="s">
        <v>63</v>
      </c>
      <c r="C11" s="16" t="s">
        <v>5</v>
      </c>
      <c r="D11" s="16" t="s">
        <v>16</v>
      </c>
      <c r="E11" s="16" t="s">
        <v>59</v>
      </c>
      <c r="F11" s="16" t="s">
        <v>36</v>
      </c>
      <c r="G11" s="16" t="s">
        <v>4</v>
      </c>
      <c r="H11" s="16" t="s">
        <v>37</v>
      </c>
      <c r="I11" s="33"/>
    </row>
    <row r="12" spans="1:9" s="29" customFormat="1" x14ac:dyDescent="0.3">
      <c r="A12" s="33"/>
      <c r="B12" s="31" t="s">
        <v>160</v>
      </c>
      <c r="C12" s="32" t="s">
        <v>7</v>
      </c>
      <c r="D12" s="18"/>
      <c r="E12" s="53">
        <v>1</v>
      </c>
      <c r="F12" s="24">
        <f>'Mobil. e Participação Social'!$H$21</f>
        <v>0</v>
      </c>
      <c r="G12" s="24">
        <f>D12*E12*F12</f>
        <v>0</v>
      </c>
      <c r="H12" s="3"/>
      <c r="I12" s="33"/>
    </row>
    <row r="13" spans="1:9" s="29" customFormat="1" x14ac:dyDescent="0.3">
      <c r="A13" s="33"/>
      <c r="B13" s="31" t="s">
        <v>42</v>
      </c>
      <c r="C13" s="37" t="s">
        <v>7</v>
      </c>
      <c r="D13" s="18"/>
      <c r="E13" s="53">
        <v>1</v>
      </c>
      <c r="F13" s="48">
        <f>'Deslocamento Terrestre'!$H$13</f>
        <v>0</v>
      </c>
      <c r="G13" s="24">
        <f>D13*E13*F13</f>
        <v>0</v>
      </c>
      <c r="H13" s="3"/>
      <c r="I13" s="33"/>
    </row>
    <row r="14" spans="1:9" s="29" customFormat="1" x14ac:dyDescent="0.3">
      <c r="A14" s="33"/>
      <c r="B14" s="31" t="s">
        <v>191</v>
      </c>
      <c r="C14" s="37" t="s">
        <v>7</v>
      </c>
      <c r="D14" s="18"/>
      <c r="E14" s="53">
        <v>1</v>
      </c>
      <c r="F14" s="48">
        <f>'Deslocamento Hidroviário'!$H$12</f>
        <v>0</v>
      </c>
      <c r="G14" s="24">
        <f>D14*E14*F14</f>
        <v>0</v>
      </c>
      <c r="H14" s="3"/>
      <c r="I14" s="33"/>
    </row>
    <row r="15" spans="1:9" s="29" customFormat="1" x14ac:dyDescent="0.3">
      <c r="A15" s="33"/>
      <c r="B15" s="31" t="s">
        <v>159</v>
      </c>
      <c r="C15" s="37" t="s">
        <v>7</v>
      </c>
      <c r="D15" s="38"/>
      <c r="E15" s="53">
        <v>1</v>
      </c>
      <c r="F15" s="48">
        <f>'Audiência Municipal'!$G$21</f>
        <v>0</v>
      </c>
      <c r="G15" s="24">
        <f>D15*E15*F15</f>
        <v>0</v>
      </c>
      <c r="H15" s="41"/>
      <c r="I15" s="33"/>
    </row>
    <row r="16" spans="1:9" s="29" customFormat="1" ht="33" x14ac:dyDescent="0.3">
      <c r="A16" s="33"/>
      <c r="B16" s="16" t="s">
        <v>109</v>
      </c>
      <c r="C16" s="16" t="s">
        <v>5</v>
      </c>
      <c r="D16" s="16" t="s">
        <v>16</v>
      </c>
      <c r="E16" s="16" t="s">
        <v>59</v>
      </c>
      <c r="F16" s="16" t="s">
        <v>36</v>
      </c>
      <c r="G16" s="16" t="s">
        <v>4</v>
      </c>
      <c r="H16" s="16" t="s">
        <v>37</v>
      </c>
      <c r="I16" s="33"/>
    </row>
    <row r="17" spans="1:9" s="29" customFormat="1" x14ac:dyDescent="0.3">
      <c r="A17" s="33"/>
      <c r="B17" s="31" t="s">
        <v>110</v>
      </c>
      <c r="C17" s="37" t="s">
        <v>7</v>
      </c>
      <c r="D17" s="38"/>
      <c r="E17" s="53">
        <v>1</v>
      </c>
      <c r="F17" s="48"/>
      <c r="G17" s="24">
        <f>D17*E17*F17</f>
        <v>0</v>
      </c>
      <c r="H17" s="41"/>
      <c r="I17" s="33"/>
    </row>
    <row r="18" spans="1:9" s="29" customFormat="1" x14ac:dyDescent="0.3">
      <c r="A18" s="33"/>
      <c r="B18" s="31" t="s">
        <v>111</v>
      </c>
      <c r="C18" s="37" t="s">
        <v>7</v>
      </c>
      <c r="D18" s="38"/>
      <c r="E18" s="53">
        <v>1</v>
      </c>
      <c r="F18" s="48"/>
      <c r="G18" s="24">
        <f>D18*E18*F18</f>
        <v>0</v>
      </c>
      <c r="H18" s="41"/>
      <c r="I18" s="33"/>
    </row>
    <row r="19" spans="1:9" s="29" customFormat="1" x14ac:dyDescent="0.3">
      <c r="A19" s="33"/>
      <c r="B19" s="31" t="s">
        <v>33</v>
      </c>
      <c r="C19" s="37" t="s">
        <v>7</v>
      </c>
      <c r="D19" s="38"/>
      <c r="E19" s="53">
        <v>1</v>
      </c>
      <c r="F19" s="48"/>
      <c r="G19" s="24">
        <f>D19*E19*F19</f>
        <v>0</v>
      </c>
      <c r="H19" s="41"/>
      <c r="I19" s="33"/>
    </row>
    <row r="20" spans="1:9" s="29" customFormat="1" x14ac:dyDescent="0.3">
      <c r="A20" s="33"/>
      <c r="B20" s="31"/>
      <c r="C20" s="37"/>
      <c r="D20" s="18"/>
      <c r="E20" s="53"/>
      <c r="F20" s="48"/>
      <c r="G20" s="24"/>
      <c r="H20" s="41"/>
      <c r="I20" s="33"/>
    </row>
    <row r="21" spans="1:9" ht="33" x14ac:dyDescent="0.3">
      <c r="A21" s="5"/>
      <c r="B21" s="16" t="s">
        <v>64</v>
      </c>
      <c r="C21" s="16" t="s">
        <v>5</v>
      </c>
      <c r="D21" s="16" t="s">
        <v>16</v>
      </c>
      <c r="E21" s="16" t="s">
        <v>59</v>
      </c>
      <c r="F21" s="16" t="s">
        <v>36</v>
      </c>
      <c r="G21" s="16" t="s">
        <v>4</v>
      </c>
      <c r="H21" s="16" t="s">
        <v>37</v>
      </c>
      <c r="I21" s="6"/>
    </row>
    <row r="22" spans="1:9" x14ac:dyDescent="0.3">
      <c r="A22" s="5"/>
      <c r="B22" s="31"/>
      <c r="C22" s="37"/>
      <c r="D22" s="18"/>
      <c r="E22" s="53">
        <v>1</v>
      </c>
      <c r="F22" s="48"/>
      <c r="G22" s="24">
        <f t="shared" ref="G22:G25" si="0">D22*E22*F22</f>
        <v>0</v>
      </c>
      <c r="H22" s="24"/>
      <c r="I22" s="6"/>
    </row>
    <row r="23" spans="1:9" x14ac:dyDescent="0.3">
      <c r="A23" s="5"/>
      <c r="B23" s="30"/>
      <c r="C23" s="37"/>
      <c r="D23" s="18"/>
      <c r="E23" s="53">
        <v>1</v>
      </c>
      <c r="F23" s="48"/>
      <c r="G23" s="24">
        <f t="shared" si="0"/>
        <v>0</v>
      </c>
      <c r="H23" s="6"/>
      <c r="I23" s="6"/>
    </row>
    <row r="24" spans="1:9" x14ac:dyDescent="0.3">
      <c r="A24" s="5"/>
      <c r="B24" s="30"/>
      <c r="C24" s="37"/>
      <c r="D24" s="18"/>
      <c r="E24" s="53">
        <v>1</v>
      </c>
      <c r="F24" s="48"/>
      <c r="G24" s="24">
        <f t="shared" si="0"/>
        <v>0</v>
      </c>
      <c r="H24" s="6"/>
      <c r="I24" s="6"/>
    </row>
    <row r="25" spans="1:9" x14ac:dyDescent="0.3">
      <c r="B25" s="30"/>
      <c r="C25" s="37"/>
      <c r="D25" s="18"/>
      <c r="E25" s="53">
        <v>1</v>
      </c>
      <c r="F25" s="48"/>
      <c r="G25" s="24">
        <f t="shared" si="0"/>
        <v>0</v>
      </c>
      <c r="H25" s="6"/>
    </row>
    <row r="26" spans="1:9" ht="32.25" customHeight="1" x14ac:dyDescent="0.3">
      <c r="B26" s="16" t="s">
        <v>35</v>
      </c>
      <c r="C26" s="16" t="s">
        <v>5</v>
      </c>
      <c r="D26" s="16" t="s">
        <v>16</v>
      </c>
      <c r="E26" s="16" t="s">
        <v>59</v>
      </c>
      <c r="F26" s="16" t="s">
        <v>36</v>
      </c>
      <c r="G26" s="16" t="s">
        <v>4</v>
      </c>
      <c r="H26" s="16" t="s">
        <v>37</v>
      </c>
    </row>
    <row r="27" spans="1:9" x14ac:dyDescent="0.3">
      <c r="C27" s="37"/>
      <c r="D27" s="18"/>
      <c r="E27" s="53">
        <v>1</v>
      </c>
      <c r="F27" s="48"/>
      <c r="G27" s="24">
        <f t="shared" ref="G27:G29" si="1">D27*E27*F27</f>
        <v>0</v>
      </c>
    </row>
    <row r="28" spans="1:9" x14ac:dyDescent="0.3">
      <c r="C28" s="37"/>
      <c r="D28" s="18"/>
      <c r="E28" s="53">
        <v>1</v>
      </c>
      <c r="F28" s="48"/>
      <c r="G28" s="24">
        <f t="shared" si="1"/>
        <v>0</v>
      </c>
    </row>
    <row r="29" spans="1:9" x14ac:dyDescent="0.3">
      <c r="C29" s="37"/>
      <c r="D29" s="18"/>
      <c r="E29" s="53">
        <v>1</v>
      </c>
      <c r="F29" s="48"/>
      <c r="G29" s="24">
        <f t="shared" si="1"/>
        <v>0</v>
      </c>
    </row>
    <row r="30" spans="1:9" ht="33" customHeight="1" x14ac:dyDescent="0.3">
      <c r="B30" s="16" t="s">
        <v>71</v>
      </c>
      <c r="C30" s="16"/>
      <c r="D30" s="16"/>
      <c r="E30" s="16"/>
      <c r="F30" s="16"/>
      <c r="G30" s="47" t="e">
        <f>SUM(G12:G15)+SUM(G8:G10)+SUM(G17:G20)+SUM(G22:G25)+SUM(G27:G29)</f>
        <v>#REF!</v>
      </c>
      <c r="H30" s="16" t="s">
        <v>37</v>
      </c>
    </row>
  </sheetData>
  <mergeCells count="2">
    <mergeCell ref="B1:H3"/>
    <mergeCell ref="B4:H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61"/>
  <sheetViews>
    <sheetView showGridLines="0" view="pageBreakPreview" topLeftCell="A53" zoomScale="70" zoomScaleNormal="100" zoomScaleSheetLayoutView="70" workbookViewId="0">
      <selection activeCell="K18" sqref="K18"/>
    </sheetView>
  </sheetViews>
  <sheetFormatPr defaultRowHeight="15" x14ac:dyDescent="0.25"/>
  <cols>
    <col min="1" max="1" width="8.7109375" style="207" customWidth="1"/>
    <col min="2" max="2" width="6.28515625" style="207" bestFit="1" customWidth="1"/>
    <col min="3" max="3" width="58.5703125" style="207" bestFit="1" customWidth="1"/>
    <col min="4" max="4" width="19.7109375" style="207" bestFit="1" customWidth="1"/>
    <col min="5" max="5" width="25.28515625" style="207" bestFit="1" customWidth="1"/>
    <col min="6" max="6" width="24.42578125" style="207" bestFit="1" customWidth="1"/>
    <col min="7" max="7" width="6.7109375" style="207" customWidth="1"/>
    <col min="8" max="8" width="4.85546875" style="207" bestFit="1" customWidth="1"/>
    <col min="9" max="9" width="70" style="207" bestFit="1" customWidth="1"/>
    <col min="10" max="10" width="19.7109375" style="207" bestFit="1" customWidth="1"/>
    <col min="11" max="11" width="25.28515625" style="207" bestFit="1" customWidth="1"/>
    <col min="12" max="12" width="24.42578125" style="207" bestFit="1" customWidth="1"/>
    <col min="13" max="13" width="8.7109375" style="207" customWidth="1"/>
    <col min="14" max="18" width="9.140625" style="207"/>
    <col min="19" max="19" width="17.28515625" style="207" customWidth="1"/>
    <col min="20" max="16384" width="9.140625" style="207"/>
  </cols>
  <sheetData>
    <row r="1" spans="2:26" ht="16.5" customHeight="1" x14ac:dyDescent="0.25"/>
    <row r="2" spans="2:26" ht="50.25" customHeight="1" x14ac:dyDescent="0.25">
      <c r="B2" s="461" t="str">
        <f>CONCATENATE("ENCARGOS SOCIAIS - MUNICÍPIO DE ",'Dados Gerais do Município'!D8)</f>
        <v>ENCARGOS SOCIAIS - MUNICÍPIO DE Exemplo</v>
      </c>
      <c r="C2" s="462"/>
      <c r="D2" s="462"/>
      <c r="E2" s="462"/>
      <c r="F2" s="462"/>
      <c r="G2" s="462"/>
      <c r="H2" s="462"/>
      <c r="I2" s="462"/>
      <c r="J2" s="462"/>
      <c r="K2" s="462"/>
      <c r="L2" s="463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</row>
    <row r="3" spans="2:26" ht="16.5" customHeight="1" x14ac:dyDescent="0.25"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</row>
    <row r="4" spans="2:26" ht="29.25" customHeight="1" x14ac:dyDescent="0.25">
      <c r="B4" s="465" t="s">
        <v>195</v>
      </c>
      <c r="C4" s="465"/>
      <c r="D4" s="465"/>
      <c r="E4" s="465"/>
      <c r="F4" s="465"/>
      <c r="G4" s="208"/>
      <c r="H4" s="465" t="s">
        <v>196</v>
      </c>
      <c r="I4" s="465"/>
      <c r="J4" s="465"/>
      <c r="K4" s="465"/>
      <c r="L4" s="465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</row>
    <row r="5" spans="2:26" ht="57.75" customHeight="1" x14ac:dyDescent="0.3">
      <c r="B5" s="453" t="s">
        <v>364</v>
      </c>
      <c r="C5" s="454"/>
      <c r="D5" s="454"/>
      <c r="E5" s="454"/>
      <c r="F5" s="455"/>
      <c r="G5" s="209"/>
      <c r="H5" s="456" t="s">
        <v>365</v>
      </c>
      <c r="I5" s="457"/>
      <c r="J5" s="457"/>
      <c r="K5" s="457"/>
      <c r="L5" s="458"/>
      <c r="M5" s="459"/>
      <c r="N5" s="460"/>
      <c r="O5" s="460"/>
      <c r="P5" s="460"/>
      <c r="Q5" s="460"/>
      <c r="R5" s="460"/>
      <c r="S5" s="460"/>
      <c r="T5" s="460"/>
      <c r="U5" s="460"/>
      <c r="V5" s="459"/>
      <c r="W5" s="460"/>
      <c r="X5" s="460"/>
      <c r="Y5" s="460"/>
      <c r="Z5" s="460"/>
    </row>
    <row r="6" spans="2:26" ht="23.25" customHeight="1" x14ac:dyDescent="0.3">
      <c r="B6" s="456" t="s">
        <v>366</v>
      </c>
      <c r="C6" s="457"/>
      <c r="D6" s="457"/>
      <c r="E6" s="457"/>
      <c r="F6" s="458"/>
      <c r="G6" s="209"/>
      <c r="H6" s="456" t="s">
        <v>366</v>
      </c>
      <c r="I6" s="457"/>
      <c r="J6" s="457"/>
      <c r="K6" s="457"/>
      <c r="L6" s="458"/>
      <c r="M6" s="459"/>
      <c r="N6" s="460"/>
      <c r="O6" s="460"/>
      <c r="P6" s="460"/>
      <c r="Q6" s="460"/>
      <c r="R6" s="460"/>
      <c r="S6" s="460"/>
      <c r="T6" s="460"/>
      <c r="U6" s="460"/>
      <c r="V6" s="459"/>
      <c r="W6" s="460"/>
      <c r="X6" s="460"/>
      <c r="Y6" s="460"/>
      <c r="Z6" s="460"/>
    </row>
    <row r="7" spans="2:26" ht="20.25" customHeight="1" x14ac:dyDescent="0.3">
      <c r="B7" s="456" t="s">
        <v>367</v>
      </c>
      <c r="C7" s="457"/>
      <c r="D7" s="457"/>
      <c r="E7" s="457"/>
      <c r="F7" s="458"/>
      <c r="G7" s="209"/>
      <c r="H7" s="456" t="s">
        <v>367</v>
      </c>
      <c r="I7" s="457"/>
      <c r="J7" s="457"/>
      <c r="K7" s="457"/>
      <c r="L7" s="458"/>
      <c r="M7" s="459"/>
      <c r="N7" s="460"/>
      <c r="O7" s="460"/>
      <c r="P7" s="460"/>
      <c r="Q7" s="460"/>
      <c r="R7" s="460"/>
      <c r="S7" s="460"/>
      <c r="T7" s="460"/>
      <c r="U7" s="460"/>
      <c r="V7" s="459"/>
      <c r="W7" s="460"/>
      <c r="X7" s="460"/>
      <c r="Y7" s="460"/>
      <c r="Z7" s="460"/>
    </row>
    <row r="8" spans="2:26" ht="39.75" customHeight="1" x14ac:dyDescent="0.3">
      <c r="B8" s="456" t="s">
        <v>368</v>
      </c>
      <c r="C8" s="457"/>
      <c r="D8" s="457"/>
      <c r="E8" s="457"/>
      <c r="F8" s="458"/>
      <c r="G8" s="209"/>
      <c r="H8" s="456" t="s">
        <v>368</v>
      </c>
      <c r="I8" s="457"/>
      <c r="J8" s="457"/>
      <c r="K8" s="457"/>
      <c r="L8" s="458"/>
      <c r="M8" s="459"/>
      <c r="N8" s="460"/>
      <c r="O8" s="460"/>
      <c r="P8" s="460"/>
      <c r="Q8" s="460"/>
      <c r="R8" s="460"/>
      <c r="S8" s="460"/>
      <c r="T8" s="460"/>
      <c r="U8" s="460"/>
      <c r="V8" s="459"/>
      <c r="W8" s="460"/>
      <c r="X8" s="460"/>
      <c r="Y8" s="460"/>
      <c r="Z8" s="460"/>
    </row>
    <row r="9" spans="2:26" ht="40.5" customHeight="1" thickBot="1" x14ac:dyDescent="0.35">
      <c r="B9" s="466" t="s">
        <v>369</v>
      </c>
      <c r="C9" s="467"/>
      <c r="D9" s="467"/>
      <c r="E9" s="467"/>
      <c r="F9" s="468"/>
      <c r="G9" s="209"/>
      <c r="H9" s="466" t="s">
        <v>369</v>
      </c>
      <c r="I9" s="467"/>
      <c r="J9" s="467"/>
      <c r="K9" s="467"/>
      <c r="L9" s="468"/>
      <c r="M9" s="459"/>
      <c r="N9" s="460"/>
      <c r="O9" s="460"/>
      <c r="P9" s="460"/>
      <c r="Q9" s="460"/>
      <c r="R9" s="460"/>
      <c r="S9" s="460"/>
      <c r="T9" s="460"/>
      <c r="U9" s="460"/>
      <c r="V9" s="459"/>
      <c r="W9" s="460"/>
      <c r="X9" s="460"/>
      <c r="Y9" s="460"/>
      <c r="Z9" s="460"/>
    </row>
    <row r="10" spans="2:26" ht="30" customHeight="1" x14ac:dyDescent="0.25">
      <c r="B10" s="469" t="s">
        <v>370</v>
      </c>
      <c r="C10" s="470"/>
      <c r="D10" s="210" t="s">
        <v>371</v>
      </c>
      <c r="E10" s="210" t="s">
        <v>372</v>
      </c>
      <c r="F10" s="211" t="s">
        <v>373</v>
      </c>
      <c r="G10" s="212"/>
      <c r="H10" s="469" t="s">
        <v>370</v>
      </c>
      <c r="I10" s="470"/>
      <c r="J10" s="210" t="s">
        <v>371</v>
      </c>
      <c r="K10" s="210" t="s">
        <v>372</v>
      </c>
      <c r="L10" s="211" t="s">
        <v>373</v>
      </c>
    </row>
    <row r="11" spans="2:26" ht="18" customHeight="1" x14ac:dyDescent="0.25">
      <c r="B11" s="213" t="s">
        <v>78</v>
      </c>
      <c r="C11" s="212" t="s">
        <v>2</v>
      </c>
      <c r="D11" s="214"/>
      <c r="E11" s="214"/>
      <c r="F11" s="215">
        <v>0</v>
      </c>
      <c r="G11" s="94"/>
      <c r="H11" s="213" t="s">
        <v>78</v>
      </c>
      <c r="I11" s="212" t="s">
        <v>2</v>
      </c>
      <c r="J11" s="214"/>
      <c r="K11" s="214"/>
      <c r="L11" s="215">
        <v>0</v>
      </c>
    </row>
    <row r="12" spans="2:26" ht="18" customHeight="1" x14ac:dyDescent="0.25">
      <c r="B12" s="213" t="s">
        <v>79</v>
      </c>
      <c r="C12" s="212" t="s">
        <v>197</v>
      </c>
      <c r="D12" s="214"/>
      <c r="E12" s="214"/>
      <c r="F12" s="215">
        <v>0</v>
      </c>
      <c r="G12" s="94"/>
      <c r="H12" s="213" t="s">
        <v>79</v>
      </c>
      <c r="I12" s="212" t="s">
        <v>197</v>
      </c>
      <c r="J12" s="214"/>
      <c r="K12" s="214"/>
      <c r="L12" s="215">
        <v>0</v>
      </c>
    </row>
    <row r="13" spans="2:26" ht="18" customHeight="1" x14ac:dyDescent="0.25">
      <c r="B13" s="213" t="s">
        <v>80</v>
      </c>
      <c r="C13" s="212" t="s">
        <v>87</v>
      </c>
      <c r="D13" s="214"/>
      <c r="E13" s="214"/>
      <c r="F13" s="215">
        <v>0</v>
      </c>
      <c r="G13" s="94"/>
      <c r="H13" s="213" t="s">
        <v>80</v>
      </c>
      <c r="I13" s="212" t="s">
        <v>87</v>
      </c>
      <c r="J13" s="214"/>
      <c r="K13" s="214"/>
      <c r="L13" s="215">
        <v>0</v>
      </c>
    </row>
    <row r="14" spans="2:26" ht="18" customHeight="1" x14ac:dyDescent="0.25">
      <c r="B14" s="213" t="s">
        <v>81</v>
      </c>
      <c r="C14" s="212" t="s">
        <v>88</v>
      </c>
      <c r="D14" s="214"/>
      <c r="E14" s="214"/>
      <c r="F14" s="215">
        <v>0</v>
      </c>
      <c r="G14" s="94"/>
      <c r="H14" s="213" t="s">
        <v>81</v>
      </c>
      <c r="I14" s="212" t="s">
        <v>88</v>
      </c>
      <c r="J14" s="214"/>
      <c r="K14" s="214"/>
      <c r="L14" s="215">
        <v>0</v>
      </c>
    </row>
    <row r="15" spans="2:26" ht="18" customHeight="1" x14ac:dyDescent="0.25">
      <c r="B15" s="213" t="s">
        <v>82</v>
      </c>
      <c r="C15" s="212" t="s">
        <v>89</v>
      </c>
      <c r="D15" s="214"/>
      <c r="E15" s="214"/>
      <c r="F15" s="215">
        <v>0</v>
      </c>
      <c r="G15" s="94"/>
      <c r="H15" s="213" t="s">
        <v>82</v>
      </c>
      <c r="I15" s="212" t="s">
        <v>89</v>
      </c>
      <c r="J15" s="214"/>
      <c r="K15" s="214"/>
      <c r="L15" s="215">
        <v>0</v>
      </c>
    </row>
    <row r="16" spans="2:26" ht="18" customHeight="1" x14ac:dyDescent="0.25">
      <c r="B16" s="213" t="s">
        <v>83</v>
      </c>
      <c r="C16" s="212" t="s">
        <v>374</v>
      </c>
      <c r="D16" s="214"/>
      <c r="E16" s="214"/>
      <c r="F16" s="215">
        <v>0</v>
      </c>
      <c r="G16" s="94"/>
      <c r="H16" s="213" t="s">
        <v>83</v>
      </c>
      <c r="I16" s="212" t="s">
        <v>374</v>
      </c>
      <c r="J16" s="214"/>
      <c r="K16" s="214"/>
      <c r="L16" s="215">
        <v>0</v>
      </c>
    </row>
    <row r="17" spans="2:12" ht="18" customHeight="1" x14ac:dyDescent="0.25">
      <c r="B17" s="213" t="s">
        <v>84</v>
      </c>
      <c r="C17" s="212" t="s">
        <v>375</v>
      </c>
      <c r="D17" s="214"/>
      <c r="E17" s="214"/>
      <c r="F17" s="215">
        <v>0</v>
      </c>
      <c r="G17" s="94"/>
      <c r="H17" s="213" t="s">
        <v>84</v>
      </c>
      <c r="I17" s="212" t="s">
        <v>375</v>
      </c>
      <c r="J17" s="214"/>
      <c r="K17" s="214"/>
      <c r="L17" s="215">
        <v>0</v>
      </c>
    </row>
    <row r="18" spans="2:12" ht="18" customHeight="1" x14ac:dyDescent="0.25">
      <c r="B18" s="213" t="s">
        <v>85</v>
      </c>
      <c r="C18" s="212" t="s">
        <v>3</v>
      </c>
      <c r="D18" s="214"/>
      <c r="E18" s="214"/>
      <c r="F18" s="215">
        <v>0.03</v>
      </c>
      <c r="G18" s="94"/>
      <c r="H18" s="213" t="s">
        <v>85</v>
      </c>
      <c r="I18" s="212" t="s">
        <v>3</v>
      </c>
      <c r="J18" s="214"/>
      <c r="K18" s="214"/>
      <c r="L18" s="215">
        <v>0.03</v>
      </c>
    </row>
    <row r="19" spans="2:12" ht="18" customHeight="1" x14ac:dyDescent="0.25">
      <c r="B19" s="213" t="s">
        <v>86</v>
      </c>
      <c r="C19" s="212" t="s">
        <v>90</v>
      </c>
      <c r="D19" s="214"/>
      <c r="E19" s="214"/>
      <c r="F19" s="215">
        <v>0</v>
      </c>
      <c r="G19" s="94"/>
      <c r="H19" s="213"/>
      <c r="I19" s="212"/>
      <c r="J19" s="214"/>
      <c r="K19" s="214"/>
      <c r="L19" s="215"/>
    </row>
    <row r="20" spans="2:12" ht="20.25" customHeight="1" x14ac:dyDescent="0.25">
      <c r="B20" s="216"/>
      <c r="C20" s="217" t="s">
        <v>76</v>
      </c>
      <c r="D20" s="218">
        <f>SUM(D11:D19)</f>
        <v>0</v>
      </c>
      <c r="E20" s="218">
        <f>SUM(E11:E19)</f>
        <v>0</v>
      </c>
      <c r="F20" s="219">
        <f>SUM(F11:F19)</f>
        <v>0.03</v>
      </c>
      <c r="G20" s="94"/>
      <c r="H20" s="216"/>
      <c r="I20" s="217" t="s">
        <v>76</v>
      </c>
      <c r="J20" s="218">
        <f>SUM(J11:J19)</f>
        <v>0</v>
      </c>
      <c r="K20" s="218">
        <f>SUM(K11:K19)</f>
        <v>0</v>
      </c>
      <c r="L20" s="219">
        <f>SUM(L11:L19)</f>
        <v>0.03</v>
      </c>
    </row>
    <row r="21" spans="2:12" ht="16.5" customHeight="1" x14ac:dyDescent="0.25">
      <c r="B21" s="220"/>
      <c r="C21" s="221"/>
      <c r="D21" s="221"/>
      <c r="E21" s="221"/>
      <c r="F21" s="222"/>
      <c r="G21" s="94"/>
      <c r="H21" s="220"/>
      <c r="I21" s="221"/>
      <c r="J21" s="221"/>
      <c r="K21" s="221"/>
      <c r="L21" s="222"/>
    </row>
    <row r="22" spans="2:12" ht="30.75" customHeight="1" x14ac:dyDescent="0.25">
      <c r="B22" s="469" t="s">
        <v>376</v>
      </c>
      <c r="C22" s="470"/>
      <c r="D22" s="210" t="s">
        <v>371</v>
      </c>
      <c r="E22" s="210" t="s">
        <v>372</v>
      </c>
      <c r="F22" s="211" t="s">
        <v>373</v>
      </c>
      <c r="G22" s="212"/>
      <c r="H22" s="469" t="s">
        <v>376</v>
      </c>
      <c r="I22" s="470"/>
      <c r="J22" s="210" t="s">
        <v>371</v>
      </c>
      <c r="K22" s="210" t="s">
        <v>372</v>
      </c>
      <c r="L22" s="211" t="s">
        <v>373</v>
      </c>
    </row>
    <row r="23" spans="2:12" ht="18" x14ac:dyDescent="0.25">
      <c r="B23" s="213" t="s">
        <v>91</v>
      </c>
      <c r="C23" s="212" t="s">
        <v>377</v>
      </c>
      <c r="D23" s="214"/>
      <c r="E23" s="214"/>
      <c r="F23" s="215">
        <v>0</v>
      </c>
      <c r="G23" s="212"/>
      <c r="H23" s="213" t="s">
        <v>91</v>
      </c>
      <c r="I23" s="212" t="s">
        <v>378</v>
      </c>
      <c r="J23" s="214"/>
      <c r="K23" s="214"/>
      <c r="L23" s="215">
        <v>0</v>
      </c>
    </row>
    <row r="24" spans="2:12" ht="18" x14ac:dyDescent="0.25">
      <c r="B24" s="213" t="s">
        <v>92</v>
      </c>
      <c r="C24" s="212" t="s">
        <v>379</v>
      </c>
      <c r="D24" s="214"/>
      <c r="E24" s="214"/>
      <c r="F24" s="215">
        <v>0</v>
      </c>
      <c r="G24" s="212"/>
      <c r="H24" s="213" t="s">
        <v>92</v>
      </c>
      <c r="I24" s="212" t="s">
        <v>380</v>
      </c>
      <c r="J24" s="214"/>
      <c r="K24" s="214"/>
      <c r="L24" s="215">
        <v>0</v>
      </c>
    </row>
    <row r="25" spans="2:12" ht="18" x14ac:dyDescent="0.25">
      <c r="B25" s="213" t="s">
        <v>96</v>
      </c>
      <c r="C25" s="212" t="s">
        <v>381</v>
      </c>
      <c r="D25" s="214"/>
      <c r="E25" s="214"/>
      <c r="F25" s="215">
        <v>0</v>
      </c>
      <c r="G25" s="212"/>
      <c r="H25" s="213" t="s">
        <v>96</v>
      </c>
      <c r="I25" s="212" t="s">
        <v>382</v>
      </c>
      <c r="J25" s="214"/>
      <c r="K25" s="214"/>
      <c r="L25" s="215">
        <v>0</v>
      </c>
    </row>
    <row r="26" spans="2:12" ht="18" x14ac:dyDescent="0.25">
      <c r="B26" s="213" t="s">
        <v>93</v>
      </c>
      <c r="C26" s="212" t="s">
        <v>383</v>
      </c>
      <c r="D26" s="214"/>
      <c r="E26" s="214"/>
      <c r="F26" s="215">
        <v>0</v>
      </c>
      <c r="G26" s="212"/>
      <c r="H26" s="213" t="s">
        <v>93</v>
      </c>
      <c r="I26" s="212" t="s">
        <v>384</v>
      </c>
      <c r="J26" s="214"/>
      <c r="K26" s="214"/>
      <c r="L26" s="215">
        <v>0</v>
      </c>
    </row>
    <row r="27" spans="2:12" ht="18" x14ac:dyDescent="0.25">
      <c r="B27" s="213" t="s">
        <v>95</v>
      </c>
      <c r="C27" s="212" t="s">
        <v>385</v>
      </c>
      <c r="D27" s="214"/>
      <c r="E27" s="214"/>
      <c r="F27" s="215">
        <v>0</v>
      </c>
      <c r="G27" s="212"/>
      <c r="H27" s="213" t="s">
        <v>95</v>
      </c>
      <c r="I27" s="212" t="s">
        <v>386</v>
      </c>
      <c r="J27" s="214"/>
      <c r="K27" s="214"/>
      <c r="L27" s="215">
        <v>0</v>
      </c>
    </row>
    <row r="28" spans="2:12" ht="18" x14ac:dyDescent="0.25">
      <c r="B28" s="223" t="s">
        <v>94</v>
      </c>
      <c r="C28" s="224" t="s">
        <v>387</v>
      </c>
      <c r="D28" s="214"/>
      <c r="E28" s="214"/>
      <c r="F28" s="215">
        <v>0</v>
      </c>
      <c r="G28" s="212"/>
      <c r="H28" s="223" t="s">
        <v>94</v>
      </c>
      <c r="I28" s="224" t="s">
        <v>388</v>
      </c>
      <c r="J28" s="214"/>
      <c r="K28" s="214"/>
      <c r="L28" s="215">
        <v>0</v>
      </c>
    </row>
    <row r="29" spans="2:12" ht="18" x14ac:dyDescent="0.25">
      <c r="B29" s="223" t="s">
        <v>99</v>
      </c>
      <c r="C29" s="224" t="s">
        <v>389</v>
      </c>
      <c r="D29" s="214"/>
      <c r="E29" s="214"/>
      <c r="F29" s="215">
        <v>0</v>
      </c>
      <c r="G29" s="212"/>
      <c r="H29" s="223" t="s">
        <v>99</v>
      </c>
      <c r="I29" s="224" t="s">
        <v>390</v>
      </c>
      <c r="J29" s="214"/>
      <c r="K29" s="214"/>
      <c r="L29" s="215">
        <v>0</v>
      </c>
    </row>
    <row r="30" spans="2:12" ht="18" x14ac:dyDescent="0.25">
      <c r="B30" s="223" t="s">
        <v>198</v>
      </c>
      <c r="C30" s="224" t="s">
        <v>391</v>
      </c>
      <c r="D30" s="214"/>
      <c r="E30" s="214"/>
      <c r="F30" s="215">
        <v>0</v>
      </c>
      <c r="G30" s="212"/>
      <c r="H30" s="223" t="s">
        <v>198</v>
      </c>
      <c r="I30" s="224" t="s">
        <v>392</v>
      </c>
      <c r="J30" s="214"/>
      <c r="K30" s="214"/>
      <c r="L30" s="215">
        <v>0</v>
      </c>
    </row>
    <row r="31" spans="2:12" ht="18" x14ac:dyDescent="0.25">
      <c r="B31" s="223" t="s">
        <v>199</v>
      </c>
      <c r="C31" s="224" t="s">
        <v>393</v>
      </c>
      <c r="D31" s="214"/>
      <c r="E31" s="214"/>
      <c r="F31" s="215">
        <v>0</v>
      </c>
      <c r="G31" s="212"/>
      <c r="H31" s="223"/>
      <c r="I31" s="224"/>
      <c r="J31" s="214"/>
      <c r="K31" s="214"/>
      <c r="L31" s="215"/>
    </row>
    <row r="32" spans="2:12" ht="18" x14ac:dyDescent="0.25">
      <c r="B32" s="223" t="s">
        <v>200</v>
      </c>
      <c r="C32" s="224" t="s">
        <v>394</v>
      </c>
      <c r="D32" s="214"/>
      <c r="E32" s="214"/>
      <c r="F32" s="215">
        <v>0</v>
      </c>
      <c r="G32" s="212"/>
      <c r="H32" s="223"/>
      <c r="I32" s="224"/>
      <c r="J32" s="214"/>
      <c r="K32" s="214"/>
      <c r="L32" s="215"/>
    </row>
    <row r="33" spans="2:12" ht="18" x14ac:dyDescent="0.25">
      <c r="B33" s="213"/>
      <c r="C33" s="217" t="s">
        <v>77</v>
      </c>
      <c r="D33" s="218">
        <f>SUM(D23:D32)</f>
        <v>0</v>
      </c>
      <c r="E33" s="218">
        <f>SUM(E23:E32)</f>
        <v>0</v>
      </c>
      <c r="F33" s="219">
        <f>SUM(F23:F32)</f>
        <v>0</v>
      </c>
      <c r="G33" s="212"/>
      <c r="H33" s="213"/>
      <c r="I33" s="217" t="s">
        <v>77</v>
      </c>
      <c r="J33" s="218">
        <f>SUM(J23:J32)</f>
        <v>0</v>
      </c>
      <c r="K33" s="218">
        <f>SUM(K23:K32)</f>
        <v>0</v>
      </c>
      <c r="L33" s="219">
        <f>SUM(L23:L32)</f>
        <v>0</v>
      </c>
    </row>
    <row r="34" spans="2:12" ht="16.5" customHeight="1" x14ac:dyDescent="0.25">
      <c r="B34" s="220"/>
      <c r="C34" s="221"/>
      <c r="D34" s="221"/>
      <c r="E34" s="221"/>
      <c r="F34" s="222"/>
      <c r="G34" s="94"/>
      <c r="H34" s="220"/>
      <c r="I34" s="221"/>
      <c r="J34" s="221"/>
      <c r="K34" s="221"/>
      <c r="L34" s="222"/>
    </row>
    <row r="35" spans="2:12" ht="32.25" customHeight="1" x14ac:dyDescent="0.25">
      <c r="B35" s="469" t="s">
        <v>395</v>
      </c>
      <c r="C35" s="470"/>
      <c r="D35" s="210" t="s">
        <v>371</v>
      </c>
      <c r="E35" s="210" t="s">
        <v>372</v>
      </c>
      <c r="F35" s="211" t="s">
        <v>373</v>
      </c>
      <c r="G35" s="212"/>
      <c r="H35" s="469" t="s">
        <v>395</v>
      </c>
      <c r="I35" s="470"/>
      <c r="J35" s="210" t="s">
        <v>371</v>
      </c>
      <c r="K35" s="210" t="s">
        <v>372</v>
      </c>
      <c r="L35" s="211" t="s">
        <v>373</v>
      </c>
    </row>
    <row r="36" spans="2:12" ht="18" x14ac:dyDescent="0.25">
      <c r="B36" s="213" t="s">
        <v>97</v>
      </c>
      <c r="C36" s="212" t="s">
        <v>386</v>
      </c>
      <c r="D36" s="214"/>
      <c r="E36" s="214"/>
      <c r="F36" s="215">
        <v>0</v>
      </c>
      <c r="G36" s="94"/>
      <c r="H36" s="213" t="s">
        <v>97</v>
      </c>
      <c r="I36" s="212" t="s">
        <v>396</v>
      </c>
      <c r="J36" s="214"/>
      <c r="K36" s="214"/>
      <c r="L36" s="215">
        <v>0</v>
      </c>
    </row>
    <row r="37" spans="2:12" ht="18" x14ac:dyDescent="0.25">
      <c r="B37" s="213" t="s">
        <v>98</v>
      </c>
      <c r="C37" s="212" t="s">
        <v>397</v>
      </c>
      <c r="D37" s="214"/>
      <c r="E37" s="214"/>
      <c r="F37" s="225">
        <v>0</v>
      </c>
      <c r="G37" s="94"/>
      <c r="H37" s="213" t="s">
        <v>98</v>
      </c>
      <c r="I37" s="212" t="s">
        <v>398</v>
      </c>
      <c r="J37" s="214"/>
      <c r="K37" s="214"/>
      <c r="L37" s="225">
        <v>0</v>
      </c>
    </row>
    <row r="38" spans="2:12" ht="18" x14ac:dyDescent="0.25">
      <c r="B38" s="213" t="s">
        <v>202</v>
      </c>
      <c r="C38" s="224" t="s">
        <v>399</v>
      </c>
      <c r="D38" s="214"/>
      <c r="E38" s="214"/>
      <c r="F38" s="215">
        <v>8.3299999999999999E-2</v>
      </c>
      <c r="G38" s="94"/>
      <c r="H38" s="213" t="s">
        <v>202</v>
      </c>
      <c r="I38" s="224" t="s">
        <v>400</v>
      </c>
      <c r="J38" s="214"/>
      <c r="K38" s="214"/>
      <c r="L38" s="215">
        <v>8.3299999999999999E-2</v>
      </c>
    </row>
    <row r="39" spans="2:12" ht="18" x14ac:dyDescent="0.25">
      <c r="B39" s="223" t="s">
        <v>201</v>
      </c>
      <c r="C39" s="224" t="s">
        <v>396</v>
      </c>
      <c r="D39" s="214"/>
      <c r="E39" s="214"/>
      <c r="F39" s="215">
        <v>0</v>
      </c>
      <c r="G39" s="94"/>
      <c r="H39" s="223" t="s">
        <v>201</v>
      </c>
      <c r="I39" s="224" t="s">
        <v>401</v>
      </c>
      <c r="J39" s="214"/>
      <c r="K39" s="214"/>
      <c r="L39" s="215">
        <v>0</v>
      </c>
    </row>
    <row r="40" spans="2:12" ht="18" x14ac:dyDescent="0.25">
      <c r="B40" s="223" t="s">
        <v>203</v>
      </c>
      <c r="C40" s="224" t="s">
        <v>401</v>
      </c>
      <c r="D40" s="214"/>
      <c r="E40" s="214"/>
      <c r="F40" s="215">
        <v>0</v>
      </c>
      <c r="G40" s="94"/>
      <c r="H40" s="223"/>
      <c r="I40" s="224"/>
      <c r="J40" s="214"/>
      <c r="K40" s="214"/>
      <c r="L40" s="215">
        <v>0</v>
      </c>
    </row>
    <row r="41" spans="2:12" ht="18" x14ac:dyDescent="0.25">
      <c r="B41" s="213"/>
      <c r="C41" s="217" t="s">
        <v>142</v>
      </c>
      <c r="D41" s="226">
        <f>SUM(D36:D40)</f>
        <v>0</v>
      </c>
      <c r="E41" s="226">
        <f>SUM(E36:E40)</f>
        <v>0</v>
      </c>
      <c r="F41" s="227">
        <f>SUM(F36:F40)</f>
        <v>8.3299999999999999E-2</v>
      </c>
      <c r="G41" s="94"/>
      <c r="H41" s="213"/>
      <c r="I41" s="217" t="s">
        <v>142</v>
      </c>
      <c r="J41" s="226">
        <f>SUM(J36:J40)</f>
        <v>0</v>
      </c>
      <c r="K41" s="226">
        <f>SUM(K36:K40)</f>
        <v>0</v>
      </c>
      <c r="L41" s="227">
        <f>SUM(L36:L40)</f>
        <v>8.3299999999999999E-2</v>
      </c>
    </row>
    <row r="42" spans="2:12" ht="16.5" customHeight="1" x14ac:dyDescent="0.25">
      <c r="B42" s="220"/>
      <c r="C42" s="221"/>
      <c r="D42" s="221"/>
      <c r="E42" s="221"/>
      <c r="F42" s="222"/>
      <c r="G42" s="94"/>
      <c r="H42" s="220"/>
      <c r="I42" s="221"/>
      <c r="J42" s="221"/>
      <c r="K42" s="221"/>
      <c r="L42" s="222"/>
    </row>
    <row r="43" spans="2:12" ht="31.5" customHeight="1" x14ac:dyDescent="0.25">
      <c r="B43" s="469" t="s">
        <v>402</v>
      </c>
      <c r="C43" s="470"/>
      <c r="D43" s="210" t="s">
        <v>371</v>
      </c>
      <c r="E43" s="210" t="s">
        <v>372</v>
      </c>
      <c r="F43" s="211" t="s">
        <v>373</v>
      </c>
      <c r="G43" s="212"/>
      <c r="H43" s="469" t="s">
        <v>402</v>
      </c>
      <c r="I43" s="470"/>
      <c r="J43" s="210" t="s">
        <v>371</v>
      </c>
      <c r="K43" s="210" t="s">
        <v>372</v>
      </c>
      <c r="L43" s="211" t="s">
        <v>373</v>
      </c>
    </row>
    <row r="44" spans="2:12" ht="36" x14ac:dyDescent="0.25">
      <c r="B44" s="228" t="s">
        <v>126</v>
      </c>
      <c r="C44" s="229" t="s">
        <v>403</v>
      </c>
      <c r="D44" s="230"/>
      <c r="E44" s="230"/>
      <c r="F44" s="231">
        <v>0</v>
      </c>
      <c r="G44" s="212"/>
      <c r="H44" s="255" t="s">
        <v>126</v>
      </c>
      <c r="I44" s="261" t="s">
        <v>403</v>
      </c>
      <c r="J44" s="230"/>
      <c r="K44" s="262"/>
      <c r="L44" s="263">
        <v>0</v>
      </c>
    </row>
    <row r="45" spans="2:12" ht="75.75" customHeight="1" x14ac:dyDescent="0.25">
      <c r="B45" s="228" t="s">
        <v>204</v>
      </c>
      <c r="C45" s="229" t="s">
        <v>404</v>
      </c>
      <c r="D45" s="230"/>
      <c r="E45" s="230"/>
      <c r="F45" s="231">
        <v>0</v>
      </c>
      <c r="G45" s="212"/>
      <c r="H45" s="255" t="s">
        <v>204</v>
      </c>
      <c r="I45" s="261" t="s">
        <v>405</v>
      </c>
      <c r="J45" s="230"/>
      <c r="K45" s="262"/>
      <c r="L45" s="263">
        <v>0</v>
      </c>
    </row>
    <row r="46" spans="2:12" ht="18" x14ac:dyDescent="0.25">
      <c r="B46" s="213"/>
      <c r="F46" s="232"/>
      <c r="G46" s="212"/>
      <c r="H46" s="255" t="s">
        <v>206</v>
      </c>
      <c r="I46" s="256" t="s">
        <v>406</v>
      </c>
      <c r="J46" s="214"/>
      <c r="K46" s="264"/>
      <c r="L46" s="265">
        <v>0</v>
      </c>
    </row>
    <row r="47" spans="2:12" ht="18.75" customHeight="1" x14ac:dyDescent="0.25">
      <c r="B47" s="213"/>
      <c r="C47" s="217" t="s">
        <v>143</v>
      </c>
      <c r="D47" s="226">
        <f>SUM(D44:D45)</f>
        <v>0</v>
      </c>
      <c r="E47" s="226">
        <f>SUM(E44:E45)</f>
        <v>0</v>
      </c>
      <c r="F47" s="227">
        <f>SUM(F44:F45)</f>
        <v>0</v>
      </c>
      <c r="G47" s="212"/>
      <c r="H47" s="213"/>
      <c r="I47" s="217" t="s">
        <v>143</v>
      </c>
      <c r="J47" s="226">
        <f>SUM(J44:J46)</f>
        <v>0</v>
      </c>
      <c r="K47" s="226">
        <f>SUM(K44:K46)</f>
        <v>0</v>
      </c>
      <c r="L47" s="227">
        <f>SUM(L44:L46)</f>
        <v>0</v>
      </c>
    </row>
    <row r="48" spans="2:12" ht="16.5" customHeight="1" x14ac:dyDescent="0.25">
      <c r="B48" s="233"/>
      <c r="C48" s="234"/>
      <c r="D48" s="234"/>
      <c r="E48" s="234"/>
      <c r="F48" s="235"/>
      <c r="G48" s="212"/>
      <c r="H48" s="233"/>
      <c r="I48" s="234"/>
      <c r="J48" s="234"/>
      <c r="K48" s="234"/>
      <c r="L48" s="235"/>
    </row>
    <row r="49" spans="2:12" ht="30.75" customHeight="1" x14ac:dyDescent="0.25">
      <c r="B49" s="469" t="s">
        <v>407</v>
      </c>
      <c r="C49" s="470"/>
      <c r="D49" s="210" t="s">
        <v>371</v>
      </c>
      <c r="E49" s="210" t="s">
        <v>372</v>
      </c>
      <c r="F49" s="211" t="s">
        <v>373</v>
      </c>
      <c r="G49" s="212"/>
      <c r="H49" s="469" t="s">
        <v>407</v>
      </c>
      <c r="I49" s="470"/>
      <c r="J49" s="210" t="s">
        <v>371</v>
      </c>
      <c r="K49" s="210" t="s">
        <v>372</v>
      </c>
      <c r="L49" s="211" t="s">
        <v>373</v>
      </c>
    </row>
    <row r="50" spans="2:12" ht="30.75" customHeight="1" x14ac:dyDescent="0.25">
      <c r="B50" s="236"/>
      <c r="C50" s="210"/>
      <c r="D50" s="210"/>
      <c r="E50" s="210"/>
      <c r="F50" s="211"/>
      <c r="G50" s="212"/>
      <c r="H50" s="257" t="s">
        <v>207</v>
      </c>
      <c r="I50" s="256" t="s">
        <v>408</v>
      </c>
      <c r="J50" s="254"/>
      <c r="K50" s="266"/>
      <c r="L50" s="267">
        <v>0</v>
      </c>
    </row>
    <row r="51" spans="2:12" ht="30.75" customHeight="1" x14ac:dyDescent="0.25">
      <c r="B51" s="236"/>
      <c r="C51" s="210"/>
      <c r="D51" s="210"/>
      <c r="E51" s="210"/>
      <c r="F51" s="211"/>
      <c r="G51" s="212"/>
      <c r="H51" s="257" t="s">
        <v>409</v>
      </c>
      <c r="I51" s="256" t="s">
        <v>410</v>
      </c>
      <c r="J51" s="254"/>
      <c r="K51" s="266"/>
      <c r="L51" s="267">
        <v>0</v>
      </c>
    </row>
    <row r="52" spans="2:12" ht="30.75" customHeight="1" x14ac:dyDescent="0.25">
      <c r="B52" s="236"/>
      <c r="C52" s="210"/>
      <c r="D52" s="210"/>
      <c r="E52" s="210"/>
      <c r="F52" s="211"/>
      <c r="G52" s="212"/>
      <c r="H52" s="257" t="s">
        <v>411</v>
      </c>
      <c r="I52" s="256" t="s">
        <v>412</v>
      </c>
      <c r="J52" s="254"/>
      <c r="K52" s="266"/>
      <c r="L52" s="267">
        <v>0</v>
      </c>
    </row>
    <row r="53" spans="2:12" ht="30.75" customHeight="1" x14ac:dyDescent="0.25">
      <c r="B53" s="236"/>
      <c r="C53" s="210"/>
      <c r="D53" s="210"/>
      <c r="E53" s="210"/>
      <c r="F53" s="211"/>
      <c r="G53" s="212"/>
      <c r="H53" s="257" t="s">
        <v>413</v>
      </c>
      <c r="I53" s="256" t="s">
        <v>414</v>
      </c>
      <c r="J53" s="254"/>
      <c r="K53" s="266"/>
      <c r="L53" s="267">
        <v>0</v>
      </c>
    </row>
    <row r="54" spans="2:12" ht="30.75" customHeight="1" x14ac:dyDescent="0.25">
      <c r="B54" s="236"/>
      <c r="C54" s="210"/>
      <c r="D54" s="210"/>
      <c r="E54" s="210"/>
      <c r="F54" s="211"/>
      <c r="G54" s="212"/>
      <c r="H54" s="257" t="s">
        <v>415</v>
      </c>
      <c r="I54" s="256" t="s">
        <v>416</v>
      </c>
      <c r="J54" s="254"/>
      <c r="K54" s="266"/>
      <c r="L54" s="267">
        <v>0</v>
      </c>
    </row>
    <row r="55" spans="2:12" ht="27.75" customHeight="1" x14ac:dyDescent="0.25">
      <c r="B55" s="213"/>
      <c r="C55" s="212"/>
      <c r="D55" s="237"/>
      <c r="E55" s="237"/>
      <c r="F55" s="238"/>
      <c r="G55" s="212"/>
      <c r="H55" s="257" t="s">
        <v>417</v>
      </c>
      <c r="I55" s="256" t="s">
        <v>418</v>
      </c>
      <c r="J55" s="260"/>
      <c r="K55" s="266"/>
      <c r="L55" s="267">
        <v>0</v>
      </c>
    </row>
    <row r="56" spans="2:12" ht="18" x14ac:dyDescent="0.25">
      <c r="B56" s="213"/>
      <c r="C56" s="212"/>
      <c r="D56" s="237"/>
      <c r="E56" s="237"/>
      <c r="F56" s="238"/>
      <c r="G56" s="212"/>
      <c r="H56" s="257"/>
      <c r="I56" s="258"/>
      <c r="J56" s="260"/>
      <c r="K56" s="260"/>
      <c r="L56" s="259"/>
    </row>
    <row r="57" spans="2:12" ht="18" x14ac:dyDescent="0.25">
      <c r="B57" s="213"/>
      <c r="C57" s="212" t="s">
        <v>205</v>
      </c>
      <c r="D57" s="237">
        <f>SUM(D55:D56)</f>
        <v>0</v>
      </c>
      <c r="E57" s="237">
        <f>SUM(E55:E56)</f>
        <v>0</v>
      </c>
      <c r="F57" s="238">
        <f>SUM(F55:F56)</f>
        <v>0</v>
      </c>
      <c r="G57" s="212"/>
      <c r="H57" s="213"/>
      <c r="I57" s="212" t="s">
        <v>205</v>
      </c>
      <c r="J57" s="237">
        <f>SUM(J55:J56)</f>
        <v>0</v>
      </c>
      <c r="K57" s="237">
        <f>SUM(K50:K55)</f>
        <v>0</v>
      </c>
      <c r="L57" s="238">
        <f>SUM(L55:L56)</f>
        <v>0</v>
      </c>
    </row>
    <row r="58" spans="2:12" ht="16.5" customHeight="1" x14ac:dyDescent="0.25">
      <c r="B58" s="233"/>
      <c r="C58" s="239"/>
      <c r="D58" s="240"/>
      <c r="E58" s="240"/>
      <c r="F58" s="241"/>
      <c r="G58" s="212"/>
      <c r="H58" s="233"/>
      <c r="I58" s="239"/>
      <c r="J58" s="240"/>
      <c r="K58" s="240"/>
      <c r="L58" s="241"/>
    </row>
    <row r="59" spans="2:12" ht="34.5" customHeight="1" x14ac:dyDescent="0.25">
      <c r="B59" s="472" t="s">
        <v>419</v>
      </c>
      <c r="C59" s="473"/>
      <c r="D59" s="300">
        <f>D20+D33+D41+D47+D57</f>
        <v>0</v>
      </c>
      <c r="E59" s="300">
        <f>E20+E33+E41+E47+E57</f>
        <v>0</v>
      </c>
      <c r="F59" s="301">
        <f>F20+F33+F41+F47+F57</f>
        <v>0.1133</v>
      </c>
      <c r="G59" s="212"/>
      <c r="H59" s="472" t="s">
        <v>419</v>
      </c>
      <c r="I59" s="473"/>
      <c r="J59" s="300">
        <f>J20+J33+J41+J47+J57</f>
        <v>0</v>
      </c>
      <c r="K59" s="300">
        <f>K20+K33+K41+K47+K57</f>
        <v>0</v>
      </c>
      <c r="L59" s="301">
        <f>L20+L33+L41+L47+L57</f>
        <v>0.1133</v>
      </c>
    </row>
    <row r="60" spans="2:12" ht="16.5" customHeight="1" x14ac:dyDescent="0.25"/>
    <row r="61" spans="2:12" ht="30" customHeight="1" x14ac:dyDescent="0.25">
      <c r="B61" s="471"/>
      <c r="C61" s="471"/>
      <c r="D61" s="471"/>
      <c r="E61" s="471"/>
      <c r="F61" s="471"/>
      <c r="G61" s="471"/>
      <c r="H61" s="471"/>
      <c r="I61" s="471"/>
      <c r="J61" s="471"/>
      <c r="K61" s="471"/>
      <c r="L61" s="471"/>
    </row>
  </sheetData>
  <autoFilter ref="B10:L59">
    <filterColumn colId="0" showButton="0"/>
    <filterColumn colId="6" showButton="0"/>
  </autoFilter>
  <mergeCells count="38">
    <mergeCell ref="B61:L61"/>
    <mergeCell ref="B43:C43"/>
    <mergeCell ref="H43:I43"/>
    <mergeCell ref="B49:C49"/>
    <mergeCell ref="H49:I49"/>
    <mergeCell ref="B59:C59"/>
    <mergeCell ref="H59:I59"/>
    <mergeCell ref="B10:C10"/>
    <mergeCell ref="H10:I10"/>
    <mergeCell ref="B22:C22"/>
    <mergeCell ref="H22:I22"/>
    <mergeCell ref="B35:C35"/>
    <mergeCell ref="H35:I35"/>
    <mergeCell ref="B8:F8"/>
    <mergeCell ref="H8:L8"/>
    <mergeCell ref="M8:U8"/>
    <mergeCell ref="V8:Z8"/>
    <mergeCell ref="B9:F9"/>
    <mergeCell ref="H9:L9"/>
    <mergeCell ref="M9:U9"/>
    <mergeCell ref="V9:Z9"/>
    <mergeCell ref="B6:F6"/>
    <mergeCell ref="H6:L6"/>
    <mergeCell ref="M6:U6"/>
    <mergeCell ref="V6:Z6"/>
    <mergeCell ref="B7:F7"/>
    <mergeCell ref="H7:L7"/>
    <mergeCell ref="M7:U7"/>
    <mergeCell ref="V7:Z7"/>
    <mergeCell ref="B5:F5"/>
    <mergeCell ref="H5:L5"/>
    <mergeCell ref="M5:U5"/>
    <mergeCell ref="V5:Z5"/>
    <mergeCell ref="B2:L2"/>
    <mergeCell ref="M2:Z2"/>
    <mergeCell ref="B3:L3"/>
    <mergeCell ref="B4:F4"/>
    <mergeCell ref="H4:L4"/>
  </mergeCells>
  <pageMargins left="0.51181102362204722" right="0.51181102362204722" top="0" bottom="0" header="0.31496062992125984" footer="0.31496062992125984"/>
  <pageSetup paperSize="9" scale="4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0"/>
  <sheetViews>
    <sheetView topLeftCell="B1" workbookViewId="0">
      <selection activeCell="E34" sqref="E34"/>
    </sheetView>
  </sheetViews>
  <sheetFormatPr defaultRowHeight="16.5" x14ac:dyDescent="0.3"/>
  <cols>
    <col min="1" max="1" width="6.7109375" style="13" customWidth="1"/>
    <col min="2" max="2" width="66" style="1" customWidth="1"/>
    <col min="3" max="3" width="8.5703125" style="13" customWidth="1"/>
    <col min="4" max="4" width="10.85546875" style="13" customWidth="1"/>
    <col min="5" max="5" width="10.85546875" style="43" customWidth="1"/>
    <col min="6" max="6" width="14.140625" style="1" customWidth="1"/>
    <col min="7" max="7" width="12.85546875" style="1" customWidth="1"/>
    <col min="8" max="8" width="32.28515625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9" ht="16.5" customHeight="1" x14ac:dyDescent="0.3">
      <c r="A1" s="43"/>
      <c r="B1" s="549" t="str">
        <f>CONCATENATE("Produto J - ",'Dados Gerais do Município'!$D$8)</f>
        <v>Produto J - Exemplo</v>
      </c>
      <c r="C1" s="549"/>
      <c r="D1" s="549"/>
      <c r="E1" s="549"/>
      <c r="F1" s="549"/>
      <c r="G1" s="549"/>
      <c r="H1" s="549"/>
    </row>
    <row r="2" spans="1:9" ht="16.5" customHeight="1" x14ac:dyDescent="0.3">
      <c r="A2" s="43"/>
      <c r="B2" s="549"/>
      <c r="C2" s="549"/>
      <c r="D2" s="549"/>
      <c r="E2" s="549"/>
      <c r="F2" s="549"/>
      <c r="G2" s="549"/>
      <c r="H2" s="549"/>
    </row>
    <row r="3" spans="1:9" x14ac:dyDescent="0.3">
      <c r="A3" s="43"/>
      <c r="B3" s="549"/>
      <c r="C3" s="549"/>
      <c r="D3" s="549"/>
      <c r="E3" s="549"/>
      <c r="F3" s="549"/>
      <c r="G3" s="549"/>
      <c r="H3" s="549"/>
    </row>
    <row r="4" spans="1:9" x14ac:dyDescent="0.3">
      <c r="A4" s="43"/>
      <c r="B4" s="550" t="s">
        <v>150</v>
      </c>
      <c r="C4" s="550"/>
      <c r="D4" s="550"/>
      <c r="E4" s="550"/>
      <c r="F4" s="550"/>
      <c r="G4" s="550"/>
      <c r="H4" s="550"/>
    </row>
    <row r="5" spans="1:9" x14ac:dyDescent="0.3">
      <c r="A5" s="43"/>
      <c r="B5" s="550"/>
      <c r="C5" s="550"/>
      <c r="D5" s="550"/>
      <c r="E5" s="550"/>
      <c r="F5" s="550"/>
      <c r="G5" s="550"/>
      <c r="H5" s="550"/>
    </row>
    <row r="6" spans="1:9" ht="22.5" customHeight="1" x14ac:dyDescent="0.3">
      <c r="C6" s="34"/>
      <c r="D6" s="34"/>
      <c r="E6" s="34"/>
      <c r="F6" s="36"/>
      <c r="G6" s="36"/>
    </row>
    <row r="7" spans="1:9" ht="33" x14ac:dyDescent="0.3">
      <c r="B7" s="16" t="s">
        <v>62</v>
      </c>
      <c r="C7" s="16" t="s">
        <v>5</v>
      </c>
      <c r="D7" s="16" t="s">
        <v>16</v>
      </c>
      <c r="E7" s="16" t="s">
        <v>59</v>
      </c>
      <c r="F7" s="16" t="s">
        <v>36</v>
      </c>
      <c r="G7" s="16" t="s">
        <v>4</v>
      </c>
      <c r="H7" s="16" t="s">
        <v>37</v>
      </c>
      <c r="I7" s="14"/>
    </row>
    <row r="8" spans="1:9" x14ac:dyDescent="0.3">
      <c r="A8" s="5"/>
      <c r="B8" s="31" t="s">
        <v>26</v>
      </c>
      <c r="C8" s="37" t="s">
        <v>6</v>
      </c>
      <c r="D8" s="38">
        <v>6</v>
      </c>
      <c r="E8" s="51" t="e">
        <f>'Distribuição Custos FIXOS'!#REF!</f>
        <v>#REF!</v>
      </c>
      <c r="F8" s="40">
        <f>'Equipe Técnica Permanente'!H11</f>
        <v>0</v>
      </c>
      <c r="G8" s="35" t="e">
        <f>D8*E8*F8</f>
        <v>#REF!</v>
      </c>
      <c r="H8" s="41"/>
      <c r="I8" s="6"/>
    </row>
    <row r="9" spans="1:9" x14ac:dyDescent="0.3">
      <c r="A9" s="5"/>
      <c r="B9" s="31" t="s">
        <v>27</v>
      </c>
      <c r="C9" s="37" t="s">
        <v>6</v>
      </c>
      <c r="D9" s="38">
        <v>6</v>
      </c>
      <c r="E9" s="51" t="e">
        <f>E8</f>
        <v>#REF!</v>
      </c>
      <c r="F9" s="40">
        <f>'Equipe Técnica Permanente'!H18</f>
        <v>0</v>
      </c>
      <c r="G9" s="35" t="e">
        <f>D9*E9*F9</f>
        <v>#REF!</v>
      </c>
      <c r="H9" s="41"/>
      <c r="I9" s="6"/>
    </row>
    <row r="10" spans="1:9" s="29" customFormat="1" x14ac:dyDescent="0.3">
      <c r="A10" s="33"/>
      <c r="B10" s="31" t="s">
        <v>105</v>
      </c>
      <c r="C10" s="42" t="s">
        <v>6</v>
      </c>
      <c r="D10" s="15">
        <v>6</v>
      </c>
      <c r="E10" s="52" t="e">
        <f>E8</f>
        <v>#REF!</v>
      </c>
      <c r="F10" s="72">
        <f>'Estrutura de apoio'!G15</f>
        <v>0</v>
      </c>
      <c r="G10" s="35" t="e">
        <f>D10*E10*F10</f>
        <v>#REF!</v>
      </c>
      <c r="H10" s="41"/>
      <c r="I10" s="33"/>
    </row>
    <row r="11" spans="1:9" s="29" customFormat="1" ht="33" x14ac:dyDescent="0.3">
      <c r="A11" s="33"/>
      <c r="B11" s="16" t="s">
        <v>63</v>
      </c>
      <c r="C11" s="16" t="s">
        <v>5</v>
      </c>
      <c r="D11" s="16" t="s">
        <v>16</v>
      </c>
      <c r="E11" s="16" t="s">
        <v>59</v>
      </c>
      <c r="F11" s="16" t="s">
        <v>36</v>
      </c>
      <c r="G11" s="16" t="s">
        <v>4</v>
      </c>
      <c r="H11" s="16" t="s">
        <v>37</v>
      </c>
      <c r="I11" s="33"/>
    </row>
    <row r="12" spans="1:9" s="29" customFormat="1" x14ac:dyDescent="0.3">
      <c r="A12" s="33"/>
      <c r="B12" s="31" t="s">
        <v>160</v>
      </c>
      <c r="C12" s="32" t="s">
        <v>7</v>
      </c>
      <c r="D12" s="18"/>
      <c r="E12" s="53">
        <v>1</v>
      </c>
      <c r="F12" s="24">
        <f>'Mobil. e Participação Social'!$H$21</f>
        <v>0</v>
      </c>
      <c r="G12" s="24">
        <f>D12*E12*F12</f>
        <v>0</v>
      </c>
      <c r="H12" s="3"/>
      <c r="I12" s="33"/>
    </row>
    <row r="13" spans="1:9" s="29" customFormat="1" x14ac:dyDescent="0.3">
      <c r="A13" s="33"/>
      <c r="B13" s="31" t="s">
        <v>42</v>
      </c>
      <c r="C13" s="37" t="s">
        <v>7</v>
      </c>
      <c r="D13" s="18"/>
      <c r="E13" s="53">
        <v>1</v>
      </c>
      <c r="F13" s="48">
        <f>'Deslocamento Terrestre'!$H$13</f>
        <v>0</v>
      </c>
      <c r="G13" s="24">
        <f>D13*E13*F13</f>
        <v>0</v>
      </c>
      <c r="H13" s="3"/>
      <c r="I13" s="33"/>
    </row>
    <row r="14" spans="1:9" s="29" customFormat="1" x14ac:dyDescent="0.3">
      <c r="A14" s="33"/>
      <c r="B14" s="31" t="s">
        <v>191</v>
      </c>
      <c r="C14" s="37" t="s">
        <v>7</v>
      </c>
      <c r="D14" s="18"/>
      <c r="E14" s="53">
        <v>1</v>
      </c>
      <c r="F14" s="48">
        <f>'Deslocamento Hidroviário'!$H$12</f>
        <v>0</v>
      </c>
      <c r="G14" s="24">
        <f>D14*E14*F14</f>
        <v>0</v>
      </c>
      <c r="H14" s="3"/>
      <c r="I14" s="33"/>
    </row>
    <row r="15" spans="1:9" s="29" customFormat="1" x14ac:dyDescent="0.3">
      <c r="A15" s="33"/>
      <c r="B15" s="31" t="s">
        <v>159</v>
      </c>
      <c r="C15" s="37" t="s">
        <v>7</v>
      </c>
      <c r="D15" s="18"/>
      <c r="E15" s="53">
        <v>1</v>
      </c>
      <c r="F15" s="48">
        <f>'Audiência Municipal'!$G$21</f>
        <v>0</v>
      </c>
      <c r="G15" s="24">
        <f>D15*E15*F15</f>
        <v>0</v>
      </c>
      <c r="H15" s="41"/>
      <c r="I15" s="33"/>
    </row>
    <row r="16" spans="1:9" s="29" customFormat="1" ht="33" x14ac:dyDescent="0.3">
      <c r="A16" s="33"/>
      <c r="B16" s="16" t="s">
        <v>109</v>
      </c>
      <c r="C16" s="16" t="s">
        <v>5</v>
      </c>
      <c r="D16" s="16" t="s">
        <v>16</v>
      </c>
      <c r="E16" s="16" t="s">
        <v>59</v>
      </c>
      <c r="F16" s="16" t="s">
        <v>36</v>
      </c>
      <c r="G16" s="16" t="s">
        <v>4</v>
      </c>
      <c r="H16" s="16" t="s">
        <v>37</v>
      </c>
      <c r="I16" s="33"/>
    </row>
    <row r="17" spans="1:9" s="29" customFormat="1" x14ac:dyDescent="0.3">
      <c r="A17" s="33"/>
      <c r="B17" s="31" t="s">
        <v>110</v>
      </c>
      <c r="C17" s="37" t="s">
        <v>7</v>
      </c>
      <c r="D17" s="38"/>
      <c r="E17" s="53">
        <v>1</v>
      </c>
      <c r="F17" s="48"/>
      <c r="G17" s="24">
        <f>D17*E17*F17</f>
        <v>0</v>
      </c>
      <c r="H17" s="41"/>
      <c r="I17" s="33"/>
    </row>
    <row r="18" spans="1:9" s="29" customFormat="1" x14ac:dyDescent="0.3">
      <c r="A18" s="33"/>
      <c r="B18" s="31" t="s">
        <v>111</v>
      </c>
      <c r="C18" s="37" t="s">
        <v>7</v>
      </c>
      <c r="D18" s="38"/>
      <c r="E18" s="53">
        <v>1</v>
      </c>
      <c r="F18" s="48"/>
      <c r="G18" s="24">
        <f>D18*E18*F18</f>
        <v>0</v>
      </c>
      <c r="H18" s="41"/>
      <c r="I18" s="33"/>
    </row>
    <row r="19" spans="1:9" s="29" customFormat="1" x14ac:dyDescent="0.3">
      <c r="A19" s="33"/>
      <c r="B19" s="31" t="s">
        <v>33</v>
      </c>
      <c r="C19" s="37" t="s">
        <v>7</v>
      </c>
      <c r="D19" s="38"/>
      <c r="E19" s="53">
        <v>1</v>
      </c>
      <c r="F19" s="48"/>
      <c r="G19" s="24">
        <f>D19*E19*F19</f>
        <v>0</v>
      </c>
      <c r="H19" s="41"/>
      <c r="I19" s="33"/>
    </row>
    <row r="20" spans="1:9" s="29" customFormat="1" x14ac:dyDescent="0.3">
      <c r="A20" s="33"/>
      <c r="B20" s="31"/>
      <c r="C20" s="37"/>
      <c r="D20" s="18"/>
      <c r="E20" s="53"/>
      <c r="F20" s="48"/>
      <c r="G20" s="24"/>
      <c r="H20" s="41"/>
      <c r="I20" s="33"/>
    </row>
    <row r="21" spans="1:9" ht="33" x14ac:dyDescent="0.3">
      <c r="A21" s="5"/>
      <c r="B21" s="16" t="s">
        <v>64</v>
      </c>
      <c r="C21" s="16" t="s">
        <v>5</v>
      </c>
      <c r="D21" s="16" t="s">
        <v>16</v>
      </c>
      <c r="E21" s="16" t="s">
        <v>59</v>
      </c>
      <c r="F21" s="16" t="s">
        <v>36</v>
      </c>
      <c r="G21" s="16" t="s">
        <v>4</v>
      </c>
      <c r="H21" s="16" t="s">
        <v>37</v>
      </c>
      <c r="I21" s="6"/>
    </row>
    <row r="22" spans="1:9" x14ac:dyDescent="0.3">
      <c r="A22" s="5"/>
      <c r="B22" s="31"/>
      <c r="C22" s="37"/>
      <c r="D22" s="18"/>
      <c r="E22" s="53">
        <v>1</v>
      </c>
      <c r="F22" s="48"/>
      <c r="G22" s="24">
        <f t="shared" ref="G22:G25" si="0">D22*E22*F22</f>
        <v>0</v>
      </c>
      <c r="H22" s="24"/>
      <c r="I22" s="6"/>
    </row>
    <row r="23" spans="1:9" x14ac:dyDescent="0.3">
      <c r="A23" s="5"/>
      <c r="B23" s="30"/>
      <c r="C23" s="37"/>
      <c r="D23" s="18"/>
      <c r="E23" s="53">
        <v>1</v>
      </c>
      <c r="F23" s="48"/>
      <c r="G23" s="24">
        <f t="shared" si="0"/>
        <v>0</v>
      </c>
      <c r="H23" s="6"/>
      <c r="I23" s="6"/>
    </row>
    <row r="24" spans="1:9" x14ac:dyDescent="0.3">
      <c r="A24" s="5"/>
      <c r="B24" s="30"/>
      <c r="C24" s="37"/>
      <c r="D24" s="18"/>
      <c r="E24" s="53">
        <v>1</v>
      </c>
      <c r="F24" s="48"/>
      <c r="G24" s="24">
        <f t="shared" si="0"/>
        <v>0</v>
      </c>
      <c r="H24" s="6"/>
      <c r="I24" s="6"/>
    </row>
    <row r="25" spans="1:9" x14ac:dyDescent="0.3">
      <c r="B25" s="30"/>
      <c r="C25" s="37"/>
      <c r="D25" s="18"/>
      <c r="E25" s="53">
        <v>1</v>
      </c>
      <c r="F25" s="48"/>
      <c r="G25" s="24">
        <f t="shared" si="0"/>
        <v>0</v>
      </c>
      <c r="H25" s="6"/>
    </row>
    <row r="26" spans="1:9" ht="33.75" customHeight="1" x14ac:dyDescent="0.3">
      <c r="B26" s="16" t="s">
        <v>35</v>
      </c>
      <c r="C26" s="16" t="s">
        <v>5</v>
      </c>
      <c r="D26" s="16" t="s">
        <v>16</v>
      </c>
      <c r="E26" s="16" t="s">
        <v>59</v>
      </c>
      <c r="F26" s="16" t="s">
        <v>36</v>
      </c>
      <c r="G26" s="16" t="s">
        <v>4</v>
      </c>
      <c r="H26" s="16" t="s">
        <v>37</v>
      </c>
    </row>
    <row r="27" spans="1:9" x14ac:dyDescent="0.3">
      <c r="C27" s="37"/>
      <c r="D27" s="18"/>
      <c r="E27" s="53">
        <v>1</v>
      </c>
      <c r="F27" s="48"/>
      <c r="G27" s="24">
        <f t="shared" ref="G27:G29" si="1">D27*E27*F27</f>
        <v>0</v>
      </c>
    </row>
    <row r="28" spans="1:9" x14ac:dyDescent="0.3">
      <c r="C28" s="37"/>
      <c r="D28" s="18"/>
      <c r="E28" s="53">
        <v>1</v>
      </c>
      <c r="F28" s="48"/>
      <c r="G28" s="24">
        <f t="shared" si="1"/>
        <v>0</v>
      </c>
    </row>
    <row r="29" spans="1:9" x14ac:dyDescent="0.3">
      <c r="C29" s="37"/>
      <c r="D29" s="18"/>
      <c r="E29" s="53">
        <v>1</v>
      </c>
      <c r="F29" s="48"/>
      <c r="G29" s="24">
        <f t="shared" si="1"/>
        <v>0</v>
      </c>
    </row>
    <row r="30" spans="1:9" ht="32.25" customHeight="1" x14ac:dyDescent="0.3">
      <c r="B30" s="16" t="s">
        <v>72</v>
      </c>
      <c r="C30" s="16"/>
      <c r="D30" s="16"/>
      <c r="E30" s="16"/>
      <c r="F30" s="16"/>
      <c r="G30" s="47" t="e">
        <f>SUM(G12:G15)+SUM(G8:G10)+SUM(G17:G20)+SUM(G22:G25)+SUM(G27:G29)</f>
        <v>#REF!</v>
      </c>
      <c r="H30" s="16" t="s">
        <v>37</v>
      </c>
    </row>
  </sheetData>
  <mergeCells count="2">
    <mergeCell ref="B1:H3"/>
    <mergeCell ref="B4:H5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0"/>
  <sheetViews>
    <sheetView topLeftCell="B16" workbookViewId="0">
      <selection activeCell="E34" sqref="E34"/>
    </sheetView>
  </sheetViews>
  <sheetFormatPr defaultRowHeight="16.5" x14ac:dyDescent="0.3"/>
  <cols>
    <col min="1" max="1" width="6.7109375" style="13" customWidth="1"/>
    <col min="2" max="2" width="66" style="1" customWidth="1"/>
    <col min="3" max="3" width="8.5703125" style="13" customWidth="1"/>
    <col min="4" max="4" width="10.85546875" style="13" customWidth="1"/>
    <col min="5" max="5" width="10.85546875" style="43" customWidth="1"/>
    <col min="6" max="6" width="14.140625" style="1" customWidth="1"/>
    <col min="7" max="7" width="12.85546875" style="1" customWidth="1"/>
    <col min="8" max="8" width="32.28515625" style="1" customWidth="1"/>
    <col min="9" max="9" width="19.42578125" style="1" customWidth="1"/>
    <col min="10" max="10" width="12.7109375" style="1" customWidth="1"/>
    <col min="11" max="16384" width="9.140625" style="1"/>
  </cols>
  <sheetData>
    <row r="1" spans="1:9" ht="16.5" customHeight="1" x14ac:dyDescent="0.3">
      <c r="A1" s="43"/>
      <c r="B1" s="549" t="str">
        <f>CONCATENATE("Produto K - ",'Dados Gerais do Município'!$D$8)</f>
        <v>Produto K - Exemplo</v>
      </c>
      <c r="C1" s="549"/>
      <c r="D1" s="549"/>
      <c r="E1" s="549"/>
      <c r="F1" s="549"/>
      <c r="G1" s="549"/>
      <c r="H1" s="549"/>
    </row>
    <row r="2" spans="1:9" ht="16.5" customHeight="1" x14ac:dyDescent="0.3">
      <c r="A2" s="43"/>
      <c r="B2" s="549"/>
      <c r="C2" s="549"/>
      <c r="D2" s="549"/>
      <c r="E2" s="549"/>
      <c r="F2" s="549"/>
      <c r="G2" s="549"/>
      <c r="H2" s="549"/>
    </row>
    <row r="3" spans="1:9" x14ac:dyDescent="0.3">
      <c r="A3" s="43"/>
      <c r="B3" s="549"/>
      <c r="C3" s="549"/>
      <c r="D3" s="549"/>
      <c r="E3" s="549"/>
      <c r="F3" s="549"/>
      <c r="G3" s="549"/>
      <c r="H3" s="549"/>
    </row>
    <row r="4" spans="1:9" x14ac:dyDescent="0.3">
      <c r="A4" s="43"/>
      <c r="B4" s="550" t="s">
        <v>151</v>
      </c>
      <c r="C4" s="550"/>
      <c r="D4" s="550"/>
      <c r="E4" s="550"/>
      <c r="F4" s="550"/>
      <c r="G4" s="550"/>
      <c r="H4" s="550"/>
    </row>
    <row r="5" spans="1:9" x14ac:dyDescent="0.3">
      <c r="A5" s="43"/>
      <c r="B5" s="550"/>
      <c r="C5" s="550"/>
      <c r="D5" s="550"/>
      <c r="E5" s="550"/>
      <c r="F5" s="550"/>
      <c r="G5" s="550"/>
      <c r="H5" s="550"/>
    </row>
    <row r="6" spans="1:9" ht="22.5" customHeight="1" x14ac:dyDescent="0.3">
      <c r="C6" s="34"/>
      <c r="D6" s="34"/>
      <c r="E6" s="34"/>
      <c r="F6" s="36"/>
      <c r="G6" s="36"/>
    </row>
    <row r="7" spans="1:9" ht="33" x14ac:dyDescent="0.3">
      <c r="B7" s="16" t="s">
        <v>62</v>
      </c>
      <c r="C7" s="16" t="s">
        <v>5</v>
      </c>
      <c r="D7" s="16" t="s">
        <v>16</v>
      </c>
      <c r="E7" s="16" t="s">
        <v>59</v>
      </c>
      <c r="F7" s="16" t="s">
        <v>36</v>
      </c>
      <c r="G7" s="16" t="s">
        <v>4</v>
      </c>
      <c r="H7" s="16" t="s">
        <v>37</v>
      </c>
      <c r="I7" s="14"/>
    </row>
    <row r="8" spans="1:9" x14ac:dyDescent="0.3">
      <c r="A8" s="5"/>
      <c r="B8" s="31" t="s">
        <v>26</v>
      </c>
      <c r="C8" s="37" t="s">
        <v>6</v>
      </c>
      <c r="D8" s="38">
        <v>1</v>
      </c>
      <c r="E8" s="51" t="e">
        <f>'Distribuição Custos FIXOS'!#REF!</f>
        <v>#REF!</v>
      </c>
      <c r="F8" s="40">
        <f>'Equipe Técnica Permanente'!H11</f>
        <v>0</v>
      </c>
      <c r="G8" s="35" t="e">
        <f>D8*E8*F8</f>
        <v>#REF!</v>
      </c>
      <c r="H8" s="41"/>
      <c r="I8" s="6"/>
    </row>
    <row r="9" spans="1:9" x14ac:dyDescent="0.3">
      <c r="A9" s="5"/>
      <c r="B9" s="31" t="s">
        <v>27</v>
      </c>
      <c r="C9" s="37" t="s">
        <v>6</v>
      </c>
      <c r="D9" s="38">
        <v>1</v>
      </c>
      <c r="E9" s="51" t="e">
        <f>E8</f>
        <v>#REF!</v>
      </c>
      <c r="F9" s="40">
        <f>'Equipe Técnica Permanente'!H18</f>
        <v>0</v>
      </c>
      <c r="G9" s="35" t="e">
        <f>D9*E9*F9</f>
        <v>#REF!</v>
      </c>
      <c r="H9" s="41"/>
      <c r="I9" s="6"/>
    </row>
    <row r="10" spans="1:9" s="29" customFormat="1" x14ac:dyDescent="0.3">
      <c r="A10" s="33"/>
      <c r="B10" s="31" t="s">
        <v>105</v>
      </c>
      <c r="C10" s="42" t="s">
        <v>6</v>
      </c>
      <c r="D10" s="15">
        <v>1</v>
      </c>
      <c r="E10" s="52" t="e">
        <f>E8</f>
        <v>#REF!</v>
      </c>
      <c r="F10" s="72">
        <f>'Estrutura de apoio'!G15</f>
        <v>0</v>
      </c>
      <c r="G10" s="35" t="e">
        <f>D10*E10*F10</f>
        <v>#REF!</v>
      </c>
      <c r="H10" s="41"/>
      <c r="I10" s="33"/>
    </row>
    <row r="11" spans="1:9" s="29" customFormat="1" ht="33" x14ac:dyDescent="0.3">
      <c r="A11" s="33"/>
      <c r="B11" s="16" t="s">
        <v>63</v>
      </c>
      <c r="C11" s="16" t="s">
        <v>5</v>
      </c>
      <c r="D11" s="16" t="s">
        <v>16</v>
      </c>
      <c r="E11" s="16" t="s">
        <v>59</v>
      </c>
      <c r="F11" s="16" t="s">
        <v>36</v>
      </c>
      <c r="G11" s="16" t="s">
        <v>4</v>
      </c>
      <c r="H11" s="16" t="s">
        <v>37</v>
      </c>
      <c r="I11" s="33"/>
    </row>
    <row r="12" spans="1:9" s="29" customFormat="1" x14ac:dyDescent="0.3">
      <c r="A12" s="33"/>
      <c r="B12" s="31" t="s">
        <v>160</v>
      </c>
      <c r="C12" s="32" t="s">
        <v>7</v>
      </c>
      <c r="D12" s="18"/>
      <c r="E12" s="53">
        <v>1</v>
      </c>
      <c r="F12" s="24">
        <f>'Mobil. e Participação Social'!$H$21</f>
        <v>0</v>
      </c>
      <c r="G12" s="24">
        <f>D12*E12*F12</f>
        <v>0</v>
      </c>
      <c r="H12" s="3"/>
      <c r="I12" s="33"/>
    </row>
    <row r="13" spans="1:9" s="29" customFormat="1" x14ac:dyDescent="0.3">
      <c r="A13" s="33"/>
      <c r="B13" s="31" t="s">
        <v>42</v>
      </c>
      <c r="C13" s="37" t="s">
        <v>7</v>
      </c>
      <c r="D13" s="18"/>
      <c r="E13" s="53">
        <v>1</v>
      </c>
      <c r="F13" s="48">
        <f>'Deslocamento Terrestre'!$H$13</f>
        <v>0</v>
      </c>
      <c r="G13" s="24">
        <f>D13*E13*F13</f>
        <v>0</v>
      </c>
      <c r="H13" s="3"/>
      <c r="I13" s="33"/>
    </row>
    <row r="14" spans="1:9" s="29" customFormat="1" x14ac:dyDescent="0.3">
      <c r="A14" s="33"/>
      <c r="B14" s="31" t="s">
        <v>191</v>
      </c>
      <c r="C14" s="37" t="s">
        <v>7</v>
      </c>
      <c r="D14" s="18"/>
      <c r="E14" s="53">
        <v>1</v>
      </c>
      <c r="F14" s="48">
        <f>'Deslocamento Hidroviário'!$H$12</f>
        <v>0</v>
      </c>
      <c r="G14" s="24">
        <f>D14*E14*F14</f>
        <v>0</v>
      </c>
      <c r="H14" s="3"/>
      <c r="I14" s="33"/>
    </row>
    <row r="15" spans="1:9" s="29" customFormat="1" x14ac:dyDescent="0.3">
      <c r="A15" s="33"/>
      <c r="B15" s="31" t="s">
        <v>159</v>
      </c>
      <c r="C15" s="37" t="s">
        <v>7</v>
      </c>
      <c r="D15" s="18"/>
      <c r="E15" s="53">
        <v>1</v>
      </c>
      <c r="F15" s="48">
        <f>'Audiência Municipal'!$G$21</f>
        <v>0</v>
      </c>
      <c r="G15" s="24">
        <f>D15*E15*F15</f>
        <v>0</v>
      </c>
      <c r="H15" s="41"/>
      <c r="I15" s="33"/>
    </row>
    <row r="16" spans="1:9" s="29" customFormat="1" ht="33" x14ac:dyDescent="0.3">
      <c r="A16" s="33"/>
      <c r="B16" s="16" t="s">
        <v>109</v>
      </c>
      <c r="C16" s="16" t="s">
        <v>5</v>
      </c>
      <c r="D16" s="16" t="s">
        <v>16</v>
      </c>
      <c r="E16" s="16" t="s">
        <v>59</v>
      </c>
      <c r="F16" s="16" t="s">
        <v>36</v>
      </c>
      <c r="G16" s="16" t="s">
        <v>4</v>
      </c>
      <c r="H16" s="16" t="s">
        <v>37</v>
      </c>
      <c r="I16" s="33"/>
    </row>
    <row r="17" spans="1:9" s="29" customFormat="1" x14ac:dyDescent="0.3">
      <c r="A17" s="33"/>
      <c r="B17" s="31" t="s">
        <v>110</v>
      </c>
      <c r="C17" s="37" t="s">
        <v>7</v>
      </c>
      <c r="D17" s="38"/>
      <c r="E17" s="53">
        <v>1</v>
      </c>
      <c r="F17" s="48"/>
      <c r="G17" s="24">
        <f>D17*E17*F17</f>
        <v>0</v>
      </c>
      <c r="H17" s="41"/>
      <c r="I17" s="33"/>
    </row>
    <row r="18" spans="1:9" s="29" customFormat="1" x14ac:dyDescent="0.3">
      <c r="A18" s="33"/>
      <c r="B18" s="31" t="s">
        <v>111</v>
      </c>
      <c r="C18" s="37" t="s">
        <v>7</v>
      </c>
      <c r="D18" s="38"/>
      <c r="E18" s="53">
        <v>1</v>
      </c>
      <c r="F18" s="48"/>
      <c r="G18" s="24">
        <f>D18*E18*F18</f>
        <v>0</v>
      </c>
      <c r="H18" s="41"/>
      <c r="I18" s="33"/>
    </row>
    <row r="19" spans="1:9" s="29" customFormat="1" x14ac:dyDescent="0.3">
      <c r="A19" s="33"/>
      <c r="B19" s="31" t="s">
        <v>33</v>
      </c>
      <c r="C19" s="37" t="s">
        <v>7</v>
      </c>
      <c r="D19" s="38"/>
      <c r="E19" s="53">
        <v>1</v>
      </c>
      <c r="F19" s="48"/>
      <c r="G19" s="24">
        <f>D19*E19*F19</f>
        <v>0</v>
      </c>
      <c r="H19" s="41"/>
      <c r="I19" s="33"/>
    </row>
    <row r="20" spans="1:9" s="29" customFormat="1" x14ac:dyDescent="0.3">
      <c r="A20" s="33"/>
      <c r="B20" s="31"/>
      <c r="C20" s="37"/>
      <c r="D20" s="18"/>
      <c r="E20" s="53"/>
      <c r="F20" s="39"/>
      <c r="G20" s="35"/>
      <c r="H20" s="41"/>
      <c r="I20" s="33"/>
    </row>
    <row r="21" spans="1:9" ht="33" x14ac:dyDescent="0.3">
      <c r="A21" s="5"/>
      <c r="B21" s="16" t="s">
        <v>64</v>
      </c>
      <c r="C21" s="16" t="s">
        <v>5</v>
      </c>
      <c r="D21" s="16" t="s">
        <v>16</v>
      </c>
      <c r="E21" s="16" t="s">
        <v>59</v>
      </c>
      <c r="F21" s="16" t="s">
        <v>36</v>
      </c>
      <c r="G21" s="16" t="s">
        <v>4</v>
      </c>
      <c r="H21" s="16" t="s">
        <v>37</v>
      </c>
      <c r="I21" s="6"/>
    </row>
    <row r="22" spans="1:9" x14ac:dyDescent="0.3">
      <c r="A22" s="5"/>
      <c r="B22" s="31"/>
      <c r="C22" s="37"/>
      <c r="D22" s="18"/>
      <c r="E22" s="53">
        <v>1</v>
      </c>
      <c r="F22" s="48"/>
      <c r="G22" s="24">
        <f t="shared" ref="G22:G29" si="0">D22*E22*F22</f>
        <v>0</v>
      </c>
      <c r="H22" s="24"/>
      <c r="I22" s="6"/>
    </row>
    <row r="23" spans="1:9" x14ac:dyDescent="0.3">
      <c r="A23" s="5"/>
      <c r="B23" s="30"/>
      <c r="C23" s="37"/>
      <c r="D23" s="18"/>
      <c r="E23" s="53">
        <v>1</v>
      </c>
      <c r="F23" s="48"/>
      <c r="G23" s="24">
        <f t="shared" si="0"/>
        <v>0</v>
      </c>
      <c r="H23" s="6"/>
      <c r="I23" s="6"/>
    </row>
    <row r="24" spans="1:9" x14ac:dyDescent="0.3">
      <c r="A24" s="5"/>
      <c r="B24" s="30"/>
      <c r="C24" s="37"/>
      <c r="D24" s="18"/>
      <c r="E24" s="53">
        <v>1</v>
      </c>
      <c r="F24" s="48"/>
      <c r="G24" s="24">
        <f t="shared" si="0"/>
        <v>0</v>
      </c>
      <c r="H24" s="6"/>
      <c r="I24" s="6"/>
    </row>
    <row r="25" spans="1:9" x14ac:dyDescent="0.3">
      <c r="B25" s="30"/>
      <c r="C25" s="37"/>
      <c r="D25" s="18"/>
      <c r="E25" s="53">
        <v>1</v>
      </c>
      <c r="F25" s="48"/>
      <c r="G25" s="24">
        <f t="shared" si="0"/>
        <v>0</v>
      </c>
      <c r="H25" s="6"/>
    </row>
    <row r="26" spans="1:9" ht="33.75" customHeight="1" x14ac:dyDescent="0.3">
      <c r="B26" s="16" t="s">
        <v>35</v>
      </c>
      <c r="C26" s="16" t="s">
        <v>5</v>
      </c>
      <c r="D26" s="16" t="s">
        <v>16</v>
      </c>
      <c r="E26" s="16" t="s">
        <v>59</v>
      </c>
      <c r="F26" s="16" t="s">
        <v>36</v>
      </c>
      <c r="G26" s="16" t="s">
        <v>4</v>
      </c>
      <c r="H26" s="16" t="s">
        <v>37</v>
      </c>
    </row>
    <row r="27" spans="1:9" x14ac:dyDescent="0.3">
      <c r="C27" s="37"/>
      <c r="D27" s="18"/>
      <c r="E27" s="53">
        <v>1</v>
      </c>
      <c r="F27" s="48"/>
      <c r="G27" s="24">
        <f t="shared" si="0"/>
        <v>0</v>
      </c>
    </row>
    <row r="28" spans="1:9" x14ac:dyDescent="0.3">
      <c r="C28" s="37"/>
      <c r="D28" s="18"/>
      <c r="E28" s="53">
        <v>1</v>
      </c>
      <c r="F28" s="48"/>
      <c r="G28" s="24">
        <f t="shared" si="0"/>
        <v>0</v>
      </c>
    </row>
    <row r="29" spans="1:9" x14ac:dyDescent="0.3">
      <c r="C29" s="37"/>
      <c r="D29" s="18"/>
      <c r="E29" s="53">
        <v>1</v>
      </c>
      <c r="F29" s="48"/>
      <c r="G29" s="24">
        <f t="shared" si="0"/>
        <v>0</v>
      </c>
    </row>
    <row r="30" spans="1:9" ht="33" customHeight="1" x14ac:dyDescent="0.3">
      <c r="B30" s="16" t="s">
        <v>73</v>
      </c>
      <c r="C30" s="16"/>
      <c r="D30" s="16"/>
      <c r="E30" s="16"/>
      <c r="F30" s="16"/>
      <c r="G30" s="47" t="e">
        <f>SUM(G12:G15)+SUM(G8:G10)+SUM(G17:G20)+SUM(G22:G25)+SUM(G27:G29)</f>
        <v>#REF!</v>
      </c>
      <c r="H30" s="16" t="s">
        <v>37</v>
      </c>
    </row>
  </sheetData>
  <mergeCells count="2">
    <mergeCell ref="B1:H3"/>
    <mergeCell ref="B4:H5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9.140625" style="68"/>
    <col min="3" max="3" width="51.5703125" customWidth="1"/>
    <col min="4" max="4" width="11.5703125" customWidth="1"/>
    <col min="5" max="5" width="13.28515625" customWidth="1"/>
    <col min="6" max="6" width="11.140625" customWidth="1"/>
    <col min="7" max="7" width="14.5703125" customWidth="1"/>
  </cols>
  <sheetData>
    <row r="1" spans="2:11" s="68" customFormat="1" x14ac:dyDescent="0.25"/>
    <row r="2" spans="2:11" ht="37.5" customHeight="1" x14ac:dyDescent="0.25">
      <c r="B2" s="554" t="str">
        <f>CONCATENATE("BDI - Município de ",'Dados Gerais do Município'!D8)</f>
        <v>BDI - Município de Exemplo</v>
      </c>
      <c r="C2" s="555"/>
      <c r="D2" s="555"/>
      <c r="E2" s="555"/>
      <c r="F2" s="555"/>
      <c r="G2" s="556"/>
    </row>
    <row r="3" spans="2:11" x14ac:dyDescent="0.25">
      <c r="C3" s="55"/>
    </row>
    <row r="4" spans="2:11" ht="15.75" x14ac:dyDescent="0.25">
      <c r="B4" s="93"/>
      <c r="C4" s="154"/>
      <c r="D4" s="375" t="s">
        <v>153</v>
      </c>
      <c r="E4" s="375" t="s">
        <v>154</v>
      </c>
      <c r="F4" s="375" t="s">
        <v>292</v>
      </c>
      <c r="G4" s="375" t="s">
        <v>152</v>
      </c>
    </row>
    <row r="5" spans="2:11" ht="15" customHeight="1" x14ac:dyDescent="0.25">
      <c r="B5" s="376" t="s">
        <v>112</v>
      </c>
      <c r="C5" s="377" t="s">
        <v>116</v>
      </c>
      <c r="D5" s="378">
        <v>4.07</v>
      </c>
      <c r="E5" s="378">
        <v>4.07</v>
      </c>
      <c r="F5" s="379">
        <f t="shared" ref="F5:F12" si="0">AVERAGE(D5:E5)</f>
        <v>4.07</v>
      </c>
      <c r="G5" s="378">
        <v>4.07</v>
      </c>
    </row>
    <row r="6" spans="2:11" ht="15" customHeight="1" x14ac:dyDescent="0.25">
      <c r="B6" s="376" t="s">
        <v>113</v>
      </c>
      <c r="C6" s="155" t="s">
        <v>117</v>
      </c>
      <c r="D6" s="156">
        <v>0.94</v>
      </c>
      <c r="E6" s="156">
        <v>0.94</v>
      </c>
      <c r="F6" s="157">
        <f t="shared" si="0"/>
        <v>0.94</v>
      </c>
      <c r="G6" s="156">
        <v>0.94</v>
      </c>
    </row>
    <row r="7" spans="2:11" ht="15" customHeight="1" x14ac:dyDescent="0.25">
      <c r="B7" s="552" t="s">
        <v>114</v>
      </c>
      <c r="C7" s="377" t="s">
        <v>118</v>
      </c>
      <c r="D7" s="380">
        <v>0</v>
      </c>
      <c r="E7" s="380">
        <v>0</v>
      </c>
      <c r="F7" s="379">
        <f t="shared" si="0"/>
        <v>0</v>
      </c>
      <c r="G7" s="380">
        <v>0</v>
      </c>
    </row>
    <row r="8" spans="2:11" ht="15" customHeight="1" x14ac:dyDescent="0.25">
      <c r="B8" s="552"/>
      <c r="C8" s="155" t="s">
        <v>119</v>
      </c>
      <c r="D8" s="158">
        <v>0</v>
      </c>
      <c r="E8" s="158">
        <v>0</v>
      </c>
      <c r="F8" s="159">
        <f t="shared" si="0"/>
        <v>0</v>
      </c>
      <c r="G8" s="158">
        <v>0</v>
      </c>
    </row>
    <row r="9" spans="2:11" ht="15" customHeight="1" x14ac:dyDescent="0.25">
      <c r="B9" s="376" t="s">
        <v>115</v>
      </c>
      <c r="C9" s="377" t="s">
        <v>120</v>
      </c>
      <c r="D9" s="378">
        <v>6.9</v>
      </c>
      <c r="E9" s="378">
        <v>9.9600000000000009</v>
      </c>
      <c r="F9" s="379">
        <f t="shared" si="0"/>
        <v>8.43</v>
      </c>
      <c r="G9" s="378">
        <v>8.1999999999999993</v>
      </c>
      <c r="I9" s="68"/>
      <c r="J9" s="68"/>
      <c r="K9" s="84"/>
    </row>
    <row r="10" spans="2:11" ht="15" customHeight="1" x14ac:dyDescent="0.25">
      <c r="B10" s="552" t="s">
        <v>54</v>
      </c>
      <c r="C10" s="155" t="s">
        <v>121</v>
      </c>
      <c r="D10" s="156">
        <v>2</v>
      </c>
      <c r="E10" s="156">
        <v>5</v>
      </c>
      <c r="F10" s="157">
        <f t="shared" si="0"/>
        <v>3.5</v>
      </c>
      <c r="G10" s="156">
        <v>3.5</v>
      </c>
      <c r="I10" s="68"/>
      <c r="J10" s="68"/>
    </row>
    <row r="11" spans="2:11" ht="15" customHeight="1" x14ac:dyDescent="0.25">
      <c r="B11" s="552"/>
      <c r="C11" s="377" t="s">
        <v>122</v>
      </c>
      <c r="D11" s="378">
        <v>3</v>
      </c>
      <c r="E11" s="378">
        <v>3</v>
      </c>
      <c r="F11" s="379">
        <f t="shared" si="0"/>
        <v>3</v>
      </c>
      <c r="G11" s="378">
        <v>3</v>
      </c>
    </row>
    <row r="12" spans="2:11" ht="15" customHeight="1" x14ac:dyDescent="0.25">
      <c r="B12" s="552"/>
      <c r="C12" s="155" t="s">
        <v>123</v>
      </c>
      <c r="D12" s="156">
        <v>0.65</v>
      </c>
      <c r="E12" s="156">
        <v>0.65</v>
      </c>
      <c r="F12" s="157">
        <f t="shared" si="0"/>
        <v>0.65</v>
      </c>
      <c r="G12" s="156">
        <v>0.65</v>
      </c>
    </row>
    <row r="13" spans="2:11" ht="22.5" customHeight="1" x14ac:dyDescent="0.25">
      <c r="B13" s="94"/>
      <c r="C13" s="94"/>
      <c r="D13" s="94"/>
      <c r="E13" s="94"/>
      <c r="F13" s="94"/>
      <c r="G13" s="93"/>
    </row>
    <row r="14" spans="2:11" ht="30" customHeight="1" x14ac:dyDescent="0.25">
      <c r="B14" s="553" t="s">
        <v>144</v>
      </c>
      <c r="C14" s="553"/>
      <c r="D14" s="382">
        <f>(((1+(D8+D7)/100)*(1+D5/100)*(1+D6/100)*(1+D9/100))/(1-(SUM(D10:D12)/100))-1)</f>
        <v>0.19021290728139895</v>
      </c>
      <c r="E14" s="382">
        <f>(((1+(E8+E7)/100)*(1+E5/100)*(1+E6/100)*(1+E9/100))/(1-(SUM(E10:E12)/100))-1)</f>
        <v>0.26448893811494223</v>
      </c>
      <c r="F14" s="382">
        <f>(((1+(F8+F7)/100)*(1+F5/100)*(1+F6/100)*(1+F9/100))/(1-(SUM(F10:F12)/100))-1)</f>
        <v>0.22675095475928919</v>
      </c>
      <c r="G14" s="381">
        <f>(((1+(G8+G7)/100)*(1+G5/100)*(1+G6/100)*(1+G9/100))/(1-(SUM(G10:G12)/100))-1)</f>
        <v>0.22414879004846511</v>
      </c>
    </row>
    <row r="15" spans="2:11" ht="15.75" x14ac:dyDescent="0.25">
      <c r="B15" s="551" t="str">
        <f>IF(G14&lt;=F14,"O Valor Adotado esta DENTRO dos parâmetros da média","O Valor Adotado esta FORA dos parâmetros da média")</f>
        <v>O Valor Adotado esta DENTRO dos parâmetros da média</v>
      </c>
      <c r="C15" s="551"/>
      <c r="D15" s="551"/>
      <c r="E15" s="551"/>
      <c r="F15" s="551"/>
      <c r="G15" s="551"/>
    </row>
  </sheetData>
  <mergeCells count="5">
    <mergeCell ref="B15:G15"/>
    <mergeCell ref="B7:B8"/>
    <mergeCell ref="B10:B12"/>
    <mergeCell ref="B14:C14"/>
    <mergeCell ref="B2:G2"/>
  </mergeCells>
  <pageMargins left="0.51181102362204722" right="0.51181102362204722" top="0.78740157480314965" bottom="0.78740157480314965" header="0.31496062992125984" footer="0.31496062992125984"/>
  <pageSetup paperSize="9"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view="pageBreakPreview" topLeftCell="A10" zoomScale="85" zoomScaleNormal="85" zoomScaleSheetLayoutView="85" workbookViewId="0">
      <selection activeCell="C18" sqref="C18"/>
    </sheetView>
  </sheetViews>
  <sheetFormatPr defaultRowHeight="16.5" x14ac:dyDescent="0.3"/>
  <cols>
    <col min="1" max="1" width="8.7109375" style="26" customWidth="1"/>
    <col min="2" max="2" width="25.42578125" style="26" customWidth="1"/>
    <col min="3" max="3" width="12.7109375" style="26" bestFit="1" customWidth="1"/>
    <col min="4" max="4" width="12.85546875" style="26" customWidth="1"/>
    <col min="5" max="5" width="13.85546875" style="26" bestFit="1" customWidth="1"/>
    <col min="6" max="9" width="12.7109375" style="26" bestFit="1" customWidth="1"/>
    <col min="10" max="10" width="13.85546875" style="26" bestFit="1" customWidth="1"/>
    <col min="11" max="11" width="18.85546875" style="26" customWidth="1"/>
    <col min="12" max="12" width="14.85546875" style="26" customWidth="1"/>
    <col min="13" max="13" width="8.7109375" style="26" customWidth="1"/>
    <col min="14" max="16384" width="9.140625" style="26"/>
  </cols>
  <sheetData>
    <row r="1" spans="1:21" ht="16.5" customHeight="1" x14ac:dyDescent="0.3"/>
    <row r="2" spans="1:21" ht="51.75" customHeight="1" x14ac:dyDescent="0.3">
      <c r="B2" s="497" t="str">
        <f>CONCATENATE("Distribuição dos Custos VARIÁVEIS sem BDI - Município de ",'Dados Gerais do Município'!D8)</f>
        <v>Distribuição dos Custos VARIÁVEIS sem BDI - Município de Exemplo</v>
      </c>
      <c r="C2" s="498"/>
      <c r="D2" s="498"/>
      <c r="E2" s="498"/>
      <c r="F2" s="498"/>
      <c r="G2" s="498"/>
      <c r="H2" s="498"/>
      <c r="I2" s="498"/>
      <c r="J2" s="498"/>
      <c r="K2" s="498"/>
      <c r="L2" s="499"/>
    </row>
    <row r="3" spans="1:21" x14ac:dyDescent="0.3">
      <c r="B3" s="561" t="s">
        <v>194</v>
      </c>
      <c r="C3" s="562"/>
      <c r="D3" s="562"/>
      <c r="E3" s="562"/>
      <c r="F3" s="562"/>
      <c r="G3" s="562"/>
      <c r="H3" s="562"/>
      <c r="I3" s="562"/>
      <c r="J3" s="562"/>
      <c r="K3" s="562"/>
      <c r="L3" s="563"/>
    </row>
    <row r="4" spans="1:21" ht="16.5" customHeight="1" x14ac:dyDescent="0.3"/>
    <row r="5" spans="1:21" ht="30" customHeight="1" x14ac:dyDescent="0.3">
      <c r="B5" s="557" t="s">
        <v>185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</row>
    <row r="6" spans="1:21" s="27" customFormat="1" ht="60" x14ac:dyDescent="0.3">
      <c r="A6" s="32"/>
      <c r="B6" s="383" t="s">
        <v>45</v>
      </c>
      <c r="C6" s="383" t="s">
        <v>17</v>
      </c>
      <c r="D6" s="383" t="s">
        <v>18</v>
      </c>
      <c r="E6" s="383" t="s">
        <v>19</v>
      </c>
      <c r="F6" s="383" t="s">
        <v>20</v>
      </c>
      <c r="G6" s="383" t="s">
        <v>21</v>
      </c>
      <c r="H6" s="383" t="s">
        <v>22</v>
      </c>
      <c r="I6" s="383" t="s">
        <v>23</v>
      </c>
      <c r="J6" s="383" t="s">
        <v>24</v>
      </c>
      <c r="K6" s="385" t="s">
        <v>58</v>
      </c>
      <c r="L6" s="385" t="s">
        <v>74</v>
      </c>
      <c r="N6" s="26"/>
      <c r="O6" s="26"/>
      <c r="P6" s="26"/>
      <c r="Q6" s="26"/>
      <c r="R6" s="26"/>
      <c r="S6" s="26"/>
      <c r="T6" s="26"/>
      <c r="U6" s="26"/>
    </row>
    <row r="7" spans="1:21" s="4" customFormat="1" ht="34.5" customHeight="1" x14ac:dyDescent="0.3">
      <c r="B7" s="384" t="s">
        <v>46</v>
      </c>
      <c r="C7" s="160">
        <f>1/$L7</f>
        <v>1</v>
      </c>
      <c r="D7" s="161"/>
      <c r="E7" s="161"/>
      <c r="F7" s="161"/>
      <c r="G7" s="161"/>
      <c r="H7" s="161"/>
      <c r="I7" s="161"/>
      <c r="J7" s="161"/>
      <c r="K7" s="307">
        <f t="shared" ref="K7:K13" si="0">SUM(C7:J7)</f>
        <v>1</v>
      </c>
      <c r="L7" s="308">
        <f>'Distribuição Custos FIXOS'!M7</f>
        <v>1</v>
      </c>
      <c r="N7" s="26"/>
      <c r="O7" s="26"/>
      <c r="P7" s="26"/>
      <c r="Q7" s="26"/>
      <c r="R7" s="26"/>
      <c r="S7" s="26"/>
      <c r="T7" s="26"/>
      <c r="U7" s="26"/>
    </row>
    <row r="8" spans="1:21" s="4" customFormat="1" ht="19.5" customHeight="1" x14ac:dyDescent="0.3">
      <c r="B8" s="384" t="s">
        <v>47</v>
      </c>
      <c r="C8" s="160">
        <f>1/$L8</f>
        <v>0.5</v>
      </c>
      <c r="D8" s="160">
        <f t="shared" ref="D8" si="1">1/$L8</f>
        <v>0.5</v>
      </c>
      <c r="E8" s="161"/>
      <c r="F8" s="161"/>
      <c r="G8" s="161"/>
      <c r="H8" s="161"/>
      <c r="I8" s="161"/>
      <c r="J8" s="161"/>
      <c r="K8" s="307">
        <f t="shared" si="0"/>
        <v>1</v>
      </c>
      <c r="L8" s="308">
        <f>'Distribuição Custos FIXOS'!M8</f>
        <v>2</v>
      </c>
      <c r="N8" s="26"/>
      <c r="O8" s="26"/>
      <c r="P8" s="26"/>
      <c r="Q8" s="26"/>
      <c r="R8" s="26"/>
      <c r="S8" s="26"/>
      <c r="T8" s="26"/>
      <c r="U8" s="26"/>
    </row>
    <row r="9" spans="1:21" s="4" customFormat="1" ht="19.5" customHeight="1" x14ac:dyDescent="0.3">
      <c r="B9" s="384" t="s">
        <v>48</v>
      </c>
      <c r="C9" s="160">
        <f>1/$L9</f>
        <v>0.25</v>
      </c>
      <c r="D9" s="160">
        <f>1/$L9</f>
        <v>0.25</v>
      </c>
      <c r="E9" s="160">
        <f>1/$L9</f>
        <v>0.25</v>
      </c>
      <c r="F9" s="160">
        <f>1/$L9</f>
        <v>0.25</v>
      </c>
      <c r="G9" s="162"/>
      <c r="H9" s="162"/>
      <c r="I9" s="162"/>
      <c r="J9" s="162"/>
      <c r="K9" s="307">
        <f t="shared" si="0"/>
        <v>1</v>
      </c>
      <c r="L9" s="308">
        <f>'Distribuição Custos FIXOS'!M9</f>
        <v>4</v>
      </c>
      <c r="N9" s="26"/>
      <c r="O9" s="26"/>
      <c r="P9" s="26"/>
      <c r="Q9" s="26"/>
      <c r="R9" s="26"/>
      <c r="S9" s="26"/>
      <c r="T9" s="26"/>
      <c r="U9" s="26"/>
    </row>
    <row r="10" spans="1:21" s="4" customFormat="1" ht="19.5" customHeight="1" x14ac:dyDescent="0.3">
      <c r="B10" s="384" t="s">
        <v>49</v>
      </c>
      <c r="C10" s="162"/>
      <c r="D10" s="162"/>
      <c r="E10" s="162"/>
      <c r="F10" s="160">
        <f>1/$L10</f>
        <v>0.5</v>
      </c>
      <c r="G10" s="160">
        <f>1/$L10</f>
        <v>0.5</v>
      </c>
      <c r="H10" s="162"/>
      <c r="I10" s="162"/>
      <c r="J10" s="162"/>
      <c r="K10" s="307">
        <f t="shared" si="0"/>
        <v>1</v>
      </c>
      <c r="L10" s="308">
        <f>'Distribuição Custos FIXOS'!M10</f>
        <v>2</v>
      </c>
      <c r="N10" s="26"/>
      <c r="O10" s="26"/>
      <c r="P10" s="26"/>
      <c r="Q10" s="26"/>
      <c r="R10" s="26"/>
      <c r="S10" s="26"/>
      <c r="T10" s="26"/>
      <c r="U10" s="26"/>
    </row>
    <row r="11" spans="1:21" s="4" customFormat="1" ht="19.5" customHeight="1" x14ac:dyDescent="0.3">
      <c r="B11" s="384" t="s">
        <v>50</v>
      </c>
      <c r="C11" s="162"/>
      <c r="D11" s="162"/>
      <c r="E11" s="162"/>
      <c r="F11" s="162"/>
      <c r="G11" s="160">
        <f>1/$L11</f>
        <v>0.25</v>
      </c>
      <c r="H11" s="160">
        <f>1/$L11</f>
        <v>0.25</v>
      </c>
      <c r="I11" s="160">
        <f>1/$L11</f>
        <v>0.25</v>
      </c>
      <c r="J11" s="160">
        <f>1/$L11</f>
        <v>0.25</v>
      </c>
      <c r="K11" s="307">
        <f t="shared" si="0"/>
        <v>1</v>
      </c>
      <c r="L11" s="308">
        <f>'Distribuição Custos FIXOS'!M11</f>
        <v>4</v>
      </c>
      <c r="N11" s="26"/>
      <c r="O11" s="26"/>
      <c r="P11" s="26"/>
      <c r="Q11" s="26"/>
      <c r="R11" s="26"/>
      <c r="S11" s="26"/>
      <c r="T11" s="26"/>
      <c r="U11" s="26"/>
    </row>
    <row r="12" spans="1:21" s="4" customFormat="1" ht="19.5" customHeight="1" x14ac:dyDescent="0.3">
      <c r="B12" s="384" t="s">
        <v>51</v>
      </c>
      <c r="C12" s="162"/>
      <c r="D12" s="162"/>
      <c r="E12" s="162"/>
      <c r="F12" s="162"/>
      <c r="G12" s="160">
        <f t="shared" ref="G12:J13" si="2">1/$L12</f>
        <v>0.25</v>
      </c>
      <c r="H12" s="160">
        <f t="shared" si="2"/>
        <v>0.25</v>
      </c>
      <c r="I12" s="160">
        <f t="shared" si="2"/>
        <v>0.25</v>
      </c>
      <c r="J12" s="160">
        <f t="shared" si="2"/>
        <v>0.25</v>
      </c>
      <c r="K12" s="307">
        <f t="shared" si="0"/>
        <v>1</v>
      </c>
      <c r="L12" s="308">
        <f>'Distribuição Custos FIXOS'!M12</f>
        <v>4</v>
      </c>
      <c r="N12" s="26"/>
      <c r="O12" s="26"/>
      <c r="P12" s="26"/>
      <c r="Q12" s="26"/>
      <c r="R12" s="26"/>
      <c r="S12" s="26"/>
      <c r="T12" s="26"/>
      <c r="U12" s="26"/>
    </row>
    <row r="13" spans="1:21" s="4" customFormat="1" ht="19.5" customHeight="1" x14ac:dyDescent="0.3">
      <c r="B13" s="384" t="s">
        <v>52</v>
      </c>
      <c r="C13" s="162"/>
      <c r="D13" s="162"/>
      <c r="E13" s="162"/>
      <c r="F13" s="162"/>
      <c r="G13" s="162"/>
      <c r="H13" s="162"/>
      <c r="I13" s="160">
        <f t="shared" si="2"/>
        <v>0.5</v>
      </c>
      <c r="J13" s="160">
        <f t="shared" si="2"/>
        <v>0.5</v>
      </c>
      <c r="K13" s="307">
        <f t="shared" si="0"/>
        <v>1</v>
      </c>
      <c r="L13" s="308">
        <f>'Distribuição Custos FIXOS'!M13</f>
        <v>2</v>
      </c>
      <c r="N13" s="26"/>
      <c r="O13" s="26"/>
      <c r="P13" s="26"/>
      <c r="Q13" s="26"/>
      <c r="R13" s="26"/>
      <c r="S13" s="26"/>
      <c r="T13" s="26"/>
      <c r="U13" s="26"/>
    </row>
    <row r="14" spans="1:21" s="4" customFormat="1" ht="16.5" customHeight="1" x14ac:dyDescent="0.3"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N14" s="26"/>
      <c r="O14" s="26"/>
      <c r="P14" s="26"/>
      <c r="Q14" s="26"/>
      <c r="R14" s="26"/>
      <c r="S14" s="26"/>
      <c r="T14" s="26"/>
      <c r="U14" s="26"/>
    </row>
    <row r="15" spans="1:21" ht="16.5" customHeight="1" x14ac:dyDescent="0.3">
      <c r="B15" s="92"/>
      <c r="C15" s="163"/>
      <c r="D15" s="163"/>
      <c r="E15" s="163"/>
      <c r="F15" s="163"/>
      <c r="G15" s="163"/>
      <c r="H15" s="163"/>
      <c r="I15" s="164"/>
      <c r="J15" s="164"/>
      <c r="K15" s="163"/>
      <c r="L15" s="163"/>
    </row>
    <row r="16" spans="1:21" x14ac:dyDescent="0.3">
      <c r="B16" s="558" t="s">
        <v>140</v>
      </c>
      <c r="C16" s="559"/>
      <c r="D16" s="559"/>
      <c r="E16" s="559"/>
      <c r="F16" s="559"/>
      <c r="G16" s="559"/>
      <c r="H16" s="559"/>
      <c r="I16" s="560"/>
      <c r="J16" s="91"/>
      <c r="K16" s="91"/>
      <c r="L16" s="165"/>
    </row>
    <row r="17" spans="2:12" x14ac:dyDescent="0.3">
      <c r="B17" s="293" t="s">
        <v>45</v>
      </c>
      <c r="C17" s="293" t="s">
        <v>46</v>
      </c>
      <c r="D17" s="293" t="s">
        <v>47</v>
      </c>
      <c r="E17" s="386" t="s">
        <v>48</v>
      </c>
      <c r="F17" s="293" t="s">
        <v>49</v>
      </c>
      <c r="G17" s="293" t="s">
        <v>50</v>
      </c>
      <c r="H17" s="293" t="s">
        <v>51</v>
      </c>
      <c r="I17" s="293" t="s">
        <v>52</v>
      </c>
      <c r="J17" s="91"/>
      <c r="K17" s="91"/>
      <c r="L17" s="91"/>
    </row>
    <row r="18" spans="2:12" x14ac:dyDescent="0.3">
      <c r="B18" s="117" t="s">
        <v>141</v>
      </c>
      <c r="C18" s="161">
        <f>SUM(PA!G13:G16)+SUM(PA!G18:G20)+SUM(PA!G23:G26)+SUM(PA!G28:G30)</f>
        <v>0</v>
      </c>
      <c r="D18" s="161">
        <f>SUM(PB!G13:G16)+SUM(PB!G18:G20)+SUM(PB!G23:G26)+SUM(PB!G28:G30)</f>
        <v>0</v>
      </c>
      <c r="E18" s="161">
        <f>SUM(PC!G13:G16)+SUM(PC!G18:G20)+SUM(PC!G23:G26)+SUM(PC!G28:G30)</f>
        <v>0</v>
      </c>
      <c r="F18" s="161">
        <f>SUM(PD!G13:G16)+SUM(PD!G18:G20)+SUM(PD!G23:G26)+SUM(PD!G28:G30)</f>
        <v>0</v>
      </c>
      <c r="G18" s="161">
        <f>SUM(PE!G13:G16)+SUM(PE!G18:G20)+SUM(PE!G23:G26)+SUM(PE!G28:G30)</f>
        <v>0</v>
      </c>
      <c r="H18" s="161">
        <f>SUM(PF!G13:G16)+SUM(PF!G18:G20)+SUM(PF!G23:G26)+SUM(PF!G28:G30)</f>
        <v>0</v>
      </c>
      <c r="I18" s="161">
        <f>SUM(PG!G13:G16)+SUM(PG!G19:G21)+SUM(PG!G24:G27)+SUM(PG!G29:G31)</f>
        <v>0</v>
      </c>
      <c r="J18" s="91"/>
      <c r="K18" s="91"/>
      <c r="L18" s="91"/>
    </row>
    <row r="19" spans="2:12" s="58" customFormat="1" ht="16.5" customHeight="1" x14ac:dyDescent="0.3">
      <c r="B19" s="148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2:12" x14ac:dyDescent="0.3">
      <c r="B20" s="557" t="s">
        <v>186</v>
      </c>
      <c r="C20" s="557"/>
      <c r="D20" s="557"/>
      <c r="E20" s="557"/>
      <c r="F20" s="557"/>
      <c r="G20" s="557"/>
      <c r="H20" s="557"/>
      <c r="I20" s="557"/>
      <c r="J20" s="557"/>
      <c r="K20" s="557"/>
      <c r="L20" s="91"/>
    </row>
    <row r="21" spans="2:12" x14ac:dyDescent="0.3">
      <c r="B21" s="293" t="s">
        <v>45</v>
      </c>
      <c r="C21" s="293" t="s">
        <v>17</v>
      </c>
      <c r="D21" s="293" t="s">
        <v>18</v>
      </c>
      <c r="E21" s="293" t="s">
        <v>19</v>
      </c>
      <c r="F21" s="293" t="s">
        <v>20</v>
      </c>
      <c r="G21" s="293" t="s">
        <v>21</v>
      </c>
      <c r="H21" s="293" t="s">
        <v>22</v>
      </c>
      <c r="I21" s="293" t="s">
        <v>23</v>
      </c>
      <c r="J21" s="293" t="s">
        <v>24</v>
      </c>
      <c r="K21" s="294" t="s">
        <v>43</v>
      </c>
      <c r="L21" s="91"/>
    </row>
    <row r="22" spans="2:12" x14ac:dyDescent="0.3">
      <c r="B22" s="117" t="s">
        <v>46</v>
      </c>
      <c r="C22" s="167">
        <f>$C$18*$C7</f>
        <v>0</v>
      </c>
      <c r="D22" s="168"/>
      <c r="E22" s="168"/>
      <c r="F22" s="168"/>
      <c r="G22" s="168"/>
      <c r="H22" s="168"/>
      <c r="I22" s="168"/>
      <c r="J22" s="168"/>
      <c r="K22" s="303">
        <f t="shared" ref="K22:K28" si="3">SUM(C22:J22)</f>
        <v>0</v>
      </c>
      <c r="L22" s="91"/>
    </row>
    <row r="23" spans="2:12" x14ac:dyDescent="0.3">
      <c r="B23" s="117" t="s">
        <v>47</v>
      </c>
      <c r="C23" s="167">
        <f>$D$18*C8</f>
        <v>0</v>
      </c>
      <c r="D23" s="167">
        <f>$D$18*D8</f>
        <v>0</v>
      </c>
      <c r="E23" s="168"/>
      <c r="F23" s="168"/>
      <c r="G23" s="168"/>
      <c r="H23" s="168"/>
      <c r="I23" s="168"/>
      <c r="J23" s="168"/>
      <c r="K23" s="303">
        <f t="shared" si="3"/>
        <v>0</v>
      </c>
      <c r="L23" s="91"/>
    </row>
    <row r="24" spans="2:12" x14ac:dyDescent="0.3">
      <c r="B24" s="117" t="s">
        <v>48</v>
      </c>
      <c r="C24" s="167">
        <f>$E$18*C9</f>
        <v>0</v>
      </c>
      <c r="D24" s="167">
        <f>$E$18*D9</f>
        <v>0</v>
      </c>
      <c r="E24" s="167">
        <f>$E$18*E9</f>
        <v>0</v>
      </c>
      <c r="F24" s="167">
        <f>$E$18*F9</f>
        <v>0</v>
      </c>
      <c r="G24" s="169"/>
      <c r="H24" s="169"/>
      <c r="I24" s="169"/>
      <c r="J24" s="169"/>
      <c r="K24" s="303">
        <f t="shared" si="3"/>
        <v>0</v>
      </c>
      <c r="L24" s="91"/>
    </row>
    <row r="25" spans="2:12" x14ac:dyDescent="0.3">
      <c r="B25" s="117" t="s">
        <v>49</v>
      </c>
      <c r="C25" s="169"/>
      <c r="D25" s="169"/>
      <c r="E25" s="169"/>
      <c r="F25" s="167">
        <f>$F$18*F10</f>
        <v>0</v>
      </c>
      <c r="G25" s="167">
        <f>$F$18*G10</f>
        <v>0</v>
      </c>
      <c r="H25" s="169"/>
      <c r="I25" s="169"/>
      <c r="J25" s="169"/>
      <c r="K25" s="303">
        <f t="shared" si="3"/>
        <v>0</v>
      </c>
      <c r="L25" s="91"/>
    </row>
    <row r="26" spans="2:12" x14ac:dyDescent="0.3">
      <c r="B26" s="117" t="s">
        <v>50</v>
      </c>
      <c r="C26" s="169"/>
      <c r="D26" s="169"/>
      <c r="E26" s="169"/>
      <c r="F26" s="169"/>
      <c r="G26" s="167">
        <f>$G$18*G11</f>
        <v>0</v>
      </c>
      <c r="H26" s="167">
        <f>$G$18*H11</f>
        <v>0</v>
      </c>
      <c r="I26" s="167">
        <f>$G$18*I11</f>
        <v>0</v>
      </c>
      <c r="J26" s="167">
        <f>$G$18*J11</f>
        <v>0</v>
      </c>
      <c r="K26" s="303">
        <f t="shared" si="3"/>
        <v>0</v>
      </c>
      <c r="L26" s="91"/>
    </row>
    <row r="27" spans="2:12" x14ac:dyDescent="0.3">
      <c r="B27" s="117" t="s">
        <v>51</v>
      </c>
      <c r="C27" s="169"/>
      <c r="D27" s="169"/>
      <c r="E27" s="169"/>
      <c r="F27" s="169"/>
      <c r="G27" s="167">
        <f>$H$18*G12</f>
        <v>0</v>
      </c>
      <c r="H27" s="167">
        <f>$H$18*H12</f>
        <v>0</v>
      </c>
      <c r="I27" s="167">
        <f>$H$18*I12</f>
        <v>0</v>
      </c>
      <c r="J27" s="167">
        <f>$H$18*J12</f>
        <v>0</v>
      </c>
      <c r="K27" s="303">
        <f t="shared" si="3"/>
        <v>0</v>
      </c>
      <c r="L27" s="91"/>
    </row>
    <row r="28" spans="2:12" ht="17.25" thickBot="1" x14ac:dyDescent="0.35">
      <c r="B28" s="117" t="s">
        <v>52</v>
      </c>
      <c r="C28" s="169"/>
      <c r="D28" s="169"/>
      <c r="E28" s="169"/>
      <c r="F28" s="169"/>
      <c r="G28" s="169"/>
      <c r="H28" s="169"/>
      <c r="I28" s="167">
        <f>$I$18*I13</f>
        <v>0</v>
      </c>
      <c r="J28" s="167">
        <f>$I$18*J13</f>
        <v>0</v>
      </c>
      <c r="K28" s="303">
        <f t="shared" si="3"/>
        <v>0</v>
      </c>
      <c r="L28" s="91"/>
    </row>
    <row r="29" spans="2:12" ht="17.25" thickBot="1" x14ac:dyDescent="0.35">
      <c r="B29" s="309" t="s">
        <v>32</v>
      </c>
      <c r="C29" s="310">
        <f>SUM(C22:C28)</f>
        <v>0</v>
      </c>
      <c r="D29" s="310">
        <f t="shared" ref="D29:J29" si="4">SUM(D22:D28)</f>
        <v>0</v>
      </c>
      <c r="E29" s="310">
        <f t="shared" si="4"/>
        <v>0</v>
      </c>
      <c r="F29" s="310">
        <f t="shared" si="4"/>
        <v>0</v>
      </c>
      <c r="G29" s="310">
        <f t="shared" si="4"/>
        <v>0</v>
      </c>
      <c r="H29" s="310">
        <f t="shared" si="4"/>
        <v>0</v>
      </c>
      <c r="I29" s="310">
        <f t="shared" si="4"/>
        <v>0</v>
      </c>
      <c r="J29" s="310">
        <f t="shared" si="4"/>
        <v>0</v>
      </c>
      <c r="K29" s="311">
        <f>SUM(K22:K28)</f>
        <v>0</v>
      </c>
      <c r="L29" s="91"/>
    </row>
    <row r="30" spans="2:12" ht="16.5" customHeight="1" x14ac:dyDescent="0.3"/>
    <row r="42" ht="20.25" customHeight="1" x14ac:dyDescent="0.3"/>
  </sheetData>
  <mergeCells count="5">
    <mergeCell ref="B5:L5"/>
    <mergeCell ref="B20:K20"/>
    <mergeCell ref="B16:I16"/>
    <mergeCell ref="B3:L3"/>
    <mergeCell ref="B2:L2"/>
  </mergeCells>
  <pageMargins left="0.15748031496062992" right="0.15748031496062992" top="0.78740157480314965" bottom="0.78740157480314965" header="0.31496062992125984" footer="0.31496062992125984"/>
  <pageSetup paperSize="9" scale="7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A4" workbookViewId="0">
      <selection activeCell="J8" sqref="J8"/>
    </sheetView>
  </sheetViews>
  <sheetFormatPr defaultRowHeight="15" x14ac:dyDescent="0.25"/>
  <cols>
    <col min="1" max="1" width="8.7109375" style="68" customWidth="1"/>
    <col min="2" max="2" width="24.140625" bestFit="1" customWidth="1"/>
    <col min="3" max="3" width="15.7109375" customWidth="1"/>
    <col min="4" max="4" width="14.5703125" customWidth="1"/>
    <col min="5" max="5" width="15.42578125" customWidth="1"/>
    <col min="6" max="6" width="14.7109375" customWidth="1"/>
    <col min="7" max="7" width="16.7109375" customWidth="1"/>
    <col min="8" max="8" width="19.7109375" bestFit="1" customWidth="1"/>
    <col min="9" max="9" width="15.28515625" customWidth="1"/>
    <col min="10" max="10" width="13.5703125" bestFit="1" customWidth="1"/>
    <col min="11" max="11" width="19.140625" customWidth="1"/>
    <col min="12" max="12" width="8.7109375" customWidth="1"/>
  </cols>
  <sheetData>
    <row r="1" spans="2:11" s="68" customFormat="1" ht="16.5" customHeight="1" x14ac:dyDescent="0.25"/>
    <row r="2" spans="2:11" ht="43.5" customHeight="1" x14ac:dyDescent="0.25">
      <c r="B2" s="565" t="str">
        <f>CONCATENATE("Resumo Final dos Custos do PMSB - Município de ",'Dados Gerais do Município'!D8)</f>
        <v>Resumo Final dos Custos do PMSB - Município de Exemplo</v>
      </c>
      <c r="C2" s="565"/>
      <c r="D2" s="565"/>
      <c r="E2" s="565"/>
      <c r="F2" s="565"/>
      <c r="G2" s="565"/>
      <c r="H2" s="565"/>
      <c r="I2" s="565"/>
      <c r="J2" s="565"/>
      <c r="K2" s="565"/>
    </row>
    <row r="3" spans="2:11" ht="16.5" customHeight="1" x14ac:dyDescent="0.25"/>
    <row r="4" spans="2:11" ht="47.25" x14ac:dyDescent="0.25">
      <c r="B4" s="242" t="s">
        <v>45</v>
      </c>
      <c r="C4" s="242" t="s">
        <v>46</v>
      </c>
      <c r="D4" s="242" t="s">
        <v>47</v>
      </c>
      <c r="E4" s="242" t="s">
        <v>48</v>
      </c>
      <c r="F4" s="242" t="s">
        <v>49</v>
      </c>
      <c r="G4" s="242" t="s">
        <v>50</v>
      </c>
      <c r="H4" s="242" t="s">
        <v>51</v>
      </c>
      <c r="I4" s="242" t="s">
        <v>52</v>
      </c>
      <c r="J4" s="242" t="s">
        <v>128</v>
      </c>
      <c r="K4" s="242" t="s">
        <v>124</v>
      </c>
    </row>
    <row r="5" spans="2:11" ht="16.5" customHeight="1" x14ac:dyDescent="0.25"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2:11" ht="15.75" x14ac:dyDescent="0.25">
      <c r="B6" s="242" t="s">
        <v>62</v>
      </c>
      <c r="C6" s="387">
        <f>SUM(PA!$G$9:$G$11)</f>
        <v>0</v>
      </c>
      <c r="D6" s="387">
        <f>SUM(PB!$G$9:$G$11)</f>
        <v>0</v>
      </c>
      <c r="E6" s="387">
        <f>SUM(PC!$G$9:$G$11)</f>
        <v>0</v>
      </c>
      <c r="F6" s="387">
        <f>SUM(PD!$G$9:$G$11)</f>
        <v>0</v>
      </c>
      <c r="G6" s="387">
        <f>SUM(PE!$G$9:$G$11)</f>
        <v>0</v>
      </c>
      <c r="H6" s="387">
        <f>SUM(PF!$G$9:$G$11)</f>
        <v>0</v>
      </c>
      <c r="I6" s="387">
        <f>SUM(PG!$G$9:$G$11)</f>
        <v>0</v>
      </c>
      <c r="J6" s="387">
        <f>SUM(C6:I6)</f>
        <v>0</v>
      </c>
      <c r="K6" s="387">
        <f>J6*(1+BDI!$G$14)</f>
        <v>0</v>
      </c>
    </row>
    <row r="7" spans="2:11" ht="16.5" customHeight="1" x14ac:dyDescent="0.25">
      <c r="B7" s="142"/>
      <c r="C7" s="170"/>
      <c r="D7" s="170"/>
      <c r="E7" s="170"/>
      <c r="F7" s="170"/>
      <c r="G7" s="170"/>
      <c r="H7" s="170"/>
      <c r="I7" s="170"/>
      <c r="J7" s="170"/>
      <c r="K7" s="170"/>
    </row>
    <row r="8" spans="2:11" ht="31.5" x14ac:dyDescent="0.25">
      <c r="B8" s="242" t="s">
        <v>63</v>
      </c>
      <c r="C8" s="387">
        <f>SUM(PA!$G$13:$G$16)</f>
        <v>0</v>
      </c>
      <c r="D8" s="387">
        <f>SUM(PB!$G$13:$G$16)</f>
        <v>0</v>
      </c>
      <c r="E8" s="387">
        <f>SUM(PC!$G$13:$G$16)</f>
        <v>0</v>
      </c>
      <c r="F8" s="387">
        <f>SUM(PD!$G$13:$G$16)</f>
        <v>0</v>
      </c>
      <c r="G8" s="387">
        <f>SUM(PE!$G$13:$G$16)</f>
        <v>0</v>
      </c>
      <c r="H8" s="387">
        <f>SUM(PF!$G$13:$G$16)</f>
        <v>0</v>
      </c>
      <c r="I8" s="387">
        <f>SUM(PG!$G$13:$G$16)</f>
        <v>0</v>
      </c>
      <c r="J8" s="387">
        <f>SUM(C8:I8)</f>
        <v>0</v>
      </c>
      <c r="K8" s="387">
        <f>J8*(1+BDI!$G$14)</f>
        <v>0</v>
      </c>
    </row>
    <row r="9" spans="2:11" ht="16.5" customHeight="1" x14ac:dyDescent="0.25">
      <c r="B9" s="142"/>
      <c r="C9" s="151"/>
      <c r="D9" s="151"/>
      <c r="E9" s="151"/>
      <c r="F9" s="151"/>
      <c r="G9" s="151"/>
      <c r="H9" s="151"/>
      <c r="I9" s="151"/>
      <c r="J9" s="151"/>
      <c r="K9" s="151"/>
    </row>
    <row r="10" spans="2:11" ht="15.75" x14ac:dyDescent="0.25">
      <c r="B10" s="242" t="s">
        <v>109</v>
      </c>
      <c r="C10" s="387">
        <f>SUM(PA!$G$18:$G$21)</f>
        <v>0</v>
      </c>
      <c r="D10" s="387">
        <f>SUM(PB!$G$18:$G$21)</f>
        <v>0</v>
      </c>
      <c r="E10" s="387">
        <f>SUM(PC!$G$18:$G$21)</f>
        <v>0</v>
      </c>
      <c r="F10" s="387">
        <f>SUM(PD!$G$18:$G$21)</f>
        <v>0</v>
      </c>
      <c r="G10" s="387">
        <f>SUM(PE!$G$18:$G$21)</f>
        <v>0</v>
      </c>
      <c r="H10" s="387">
        <f>SUM(PF!$G$18:$G$21)</f>
        <v>0</v>
      </c>
      <c r="I10" s="387">
        <f>SUM(PG!$G$19:$G$22)</f>
        <v>0</v>
      </c>
      <c r="J10" s="387">
        <f>SUM(C10:I10)</f>
        <v>0</v>
      </c>
      <c r="K10" s="387">
        <f>J10*(1+BDI!$G$14)</f>
        <v>0</v>
      </c>
    </row>
    <row r="11" spans="2:11" ht="16.5" customHeight="1" x14ac:dyDescent="0.25">
      <c r="B11" s="142"/>
      <c r="C11" s="151"/>
      <c r="D11" s="151"/>
      <c r="E11" s="151"/>
      <c r="F11" s="151"/>
      <c r="G11" s="151"/>
      <c r="H11" s="151"/>
      <c r="I11" s="151"/>
      <c r="J11" s="151"/>
      <c r="K11" s="151"/>
    </row>
    <row r="12" spans="2:11" ht="31.5" x14ac:dyDescent="0.25">
      <c r="B12" s="242" t="s">
        <v>64</v>
      </c>
      <c r="C12" s="387">
        <f>SUM(PA!$G$23:$G$26)</f>
        <v>0</v>
      </c>
      <c r="D12" s="387">
        <f>SUM(PB!$G$23:$G$26)</f>
        <v>0</v>
      </c>
      <c r="E12" s="387">
        <f>SUM(PC!$G$23:$G$26)</f>
        <v>0</v>
      </c>
      <c r="F12" s="387">
        <f>SUM(PD!$G$23:$G$26)</f>
        <v>0</v>
      </c>
      <c r="G12" s="387">
        <f>SUM(PE!$G$23:$G$26)</f>
        <v>0</v>
      </c>
      <c r="H12" s="387">
        <f>SUM(PF!$G$23:$G$26)</f>
        <v>0</v>
      </c>
      <c r="I12" s="387">
        <f>SUM(PG!$G$24:$G$27)</f>
        <v>0</v>
      </c>
      <c r="J12" s="387">
        <f>SUM(C12:I12)</f>
        <v>0</v>
      </c>
      <c r="K12" s="387">
        <f>J12*(1+BDI!$G$14)</f>
        <v>0</v>
      </c>
    </row>
    <row r="13" spans="2:11" ht="16.5" customHeight="1" x14ac:dyDescent="0.25">
      <c r="B13" s="142"/>
      <c r="C13" s="151"/>
      <c r="D13" s="151"/>
      <c r="E13" s="151"/>
      <c r="F13" s="151"/>
      <c r="G13" s="151"/>
      <c r="H13" s="151"/>
      <c r="I13" s="151"/>
      <c r="J13" s="151"/>
      <c r="K13" s="151"/>
    </row>
    <row r="14" spans="2:11" ht="31.5" x14ac:dyDescent="0.25">
      <c r="B14" s="242" t="s">
        <v>35</v>
      </c>
      <c r="C14" s="387">
        <f>SUM(PA!$G$28:$G$30)</f>
        <v>0</v>
      </c>
      <c r="D14" s="387">
        <f>SUM(PB!$G$28:$G$30)</f>
        <v>0</v>
      </c>
      <c r="E14" s="387">
        <f>SUM(PC!$G$28:$G$30)</f>
        <v>0</v>
      </c>
      <c r="F14" s="387">
        <f>SUM(PD!$G$28:$G$30)</f>
        <v>0</v>
      </c>
      <c r="G14" s="387">
        <f>SUM(PE!$G$28:$G$30)</f>
        <v>0</v>
      </c>
      <c r="H14" s="387">
        <f>SUM(PF!$G$28:$G$30)</f>
        <v>0</v>
      </c>
      <c r="I14" s="387">
        <f>SUM(PG!$G$29:$G$31)</f>
        <v>0</v>
      </c>
      <c r="J14" s="387">
        <f>SUM(C14:I14)</f>
        <v>0</v>
      </c>
      <c r="K14" s="387">
        <f>J14*(1+BDI!$G$14)</f>
        <v>0</v>
      </c>
    </row>
    <row r="15" spans="2:11" ht="16.5" customHeight="1" x14ac:dyDescent="0.25">
      <c r="B15" s="152"/>
      <c r="C15" s="151"/>
      <c r="D15" s="151"/>
      <c r="E15" s="151"/>
      <c r="F15" s="151"/>
      <c r="G15" s="151"/>
      <c r="H15" s="151"/>
      <c r="I15" s="151"/>
      <c r="J15" s="151"/>
      <c r="K15" s="151"/>
    </row>
    <row r="16" spans="2:11" ht="15.75" x14ac:dyDescent="0.25">
      <c r="B16" s="242" t="s">
        <v>128</v>
      </c>
      <c r="C16" s="387">
        <f>SUM(C6:C14)</f>
        <v>0</v>
      </c>
      <c r="D16" s="387">
        <f t="shared" ref="D16:I16" si="0">SUM(D6:D14)</f>
        <v>0</v>
      </c>
      <c r="E16" s="387">
        <f t="shared" si="0"/>
        <v>0</v>
      </c>
      <c r="F16" s="387">
        <f t="shared" si="0"/>
        <v>0</v>
      </c>
      <c r="G16" s="387">
        <f t="shared" si="0"/>
        <v>0</v>
      </c>
      <c r="H16" s="387">
        <f t="shared" si="0"/>
        <v>0</v>
      </c>
      <c r="I16" s="387">
        <f t="shared" si="0"/>
        <v>0</v>
      </c>
      <c r="J16" s="387">
        <f>SUM(J6:J14)</f>
        <v>0</v>
      </c>
      <c r="K16" s="389">
        <f>J16*(1+BDI!$G$14)</f>
        <v>0</v>
      </c>
    </row>
    <row r="17" spans="2:11" ht="16.5" customHeight="1" x14ac:dyDescent="0.25">
      <c r="B17" s="93"/>
      <c r="C17" s="171"/>
      <c r="D17" s="171"/>
      <c r="E17" s="171"/>
      <c r="F17" s="171"/>
      <c r="G17" s="171"/>
      <c r="H17" s="171"/>
      <c r="I17" s="171"/>
      <c r="J17" s="171"/>
      <c r="K17" s="93"/>
    </row>
    <row r="18" spans="2:11" ht="15.75" x14ac:dyDescent="0.25">
      <c r="B18" s="242" t="s">
        <v>124</v>
      </c>
      <c r="C18" s="387">
        <f>C16*(1+BDI!$G$14)</f>
        <v>0</v>
      </c>
      <c r="D18" s="387">
        <f>D16*(1+BDI!$G$14)</f>
        <v>0</v>
      </c>
      <c r="E18" s="387">
        <f>E16*(1+BDI!$G$14)</f>
        <v>0</v>
      </c>
      <c r="F18" s="387">
        <f>F16*(1+BDI!$G$14)</f>
        <v>0</v>
      </c>
      <c r="G18" s="387">
        <f>G16*(1+BDI!$G$14)</f>
        <v>0</v>
      </c>
      <c r="H18" s="387">
        <f>H16*(1+BDI!$G$14)</f>
        <v>0</v>
      </c>
      <c r="I18" s="387">
        <f>I16*(1+BDI!$G$14)</f>
        <v>0</v>
      </c>
      <c r="J18" s="387" t="s">
        <v>100</v>
      </c>
      <c r="K18" s="389">
        <f>$J$16*(1+BDI!$G$14)</f>
        <v>0</v>
      </c>
    </row>
    <row r="19" spans="2:11" ht="16.5" customHeight="1" x14ac:dyDescent="0.25">
      <c r="B19" s="172"/>
      <c r="C19" s="173"/>
      <c r="D19" s="173"/>
      <c r="E19" s="173"/>
      <c r="F19" s="173"/>
      <c r="G19" s="173"/>
      <c r="H19" s="173"/>
      <c r="I19" s="173"/>
      <c r="J19" s="173"/>
      <c r="K19" s="173"/>
    </row>
    <row r="20" spans="2:11" ht="15.75" x14ac:dyDescent="0.25">
      <c r="B20" s="242" t="s">
        <v>146</v>
      </c>
      <c r="C20" s="388" t="e">
        <f t="shared" ref="C20:I20" si="1">C18/$K$18</f>
        <v>#DIV/0!</v>
      </c>
      <c r="D20" s="388" t="e">
        <f t="shared" si="1"/>
        <v>#DIV/0!</v>
      </c>
      <c r="E20" s="388" t="e">
        <f t="shared" si="1"/>
        <v>#DIV/0!</v>
      </c>
      <c r="F20" s="388" t="e">
        <f t="shared" si="1"/>
        <v>#DIV/0!</v>
      </c>
      <c r="G20" s="388" t="e">
        <f t="shared" si="1"/>
        <v>#DIV/0!</v>
      </c>
      <c r="H20" s="388" t="e">
        <f t="shared" si="1"/>
        <v>#DIV/0!</v>
      </c>
      <c r="I20" s="388" t="e">
        <f t="shared" si="1"/>
        <v>#DIV/0!</v>
      </c>
      <c r="J20" s="390" t="e">
        <f>SUM(C20:I20)</f>
        <v>#DIV/0!</v>
      </c>
      <c r="K20" s="174"/>
    </row>
    <row r="21" spans="2:11" ht="16.5" customHeight="1" x14ac:dyDescent="0.25">
      <c r="B21" s="93"/>
      <c r="C21" s="93"/>
      <c r="D21" s="93"/>
      <c r="E21" s="93"/>
      <c r="F21" s="93"/>
      <c r="G21" s="93"/>
      <c r="H21" s="93"/>
      <c r="I21" s="93"/>
      <c r="J21" s="93"/>
      <c r="K21" s="93"/>
    </row>
    <row r="22" spans="2:11" ht="36" customHeight="1" x14ac:dyDescent="0.25">
      <c r="B22" s="93"/>
      <c r="C22" s="93"/>
      <c r="D22" s="93"/>
      <c r="E22" s="93"/>
      <c r="F22" s="564" t="s">
        <v>125</v>
      </c>
      <c r="G22" s="564"/>
      <c r="H22" s="349">
        <f>K18</f>
        <v>0</v>
      </c>
      <c r="I22" s="93"/>
      <c r="J22" s="93"/>
      <c r="K22" s="93"/>
    </row>
    <row r="24" spans="2:11" x14ac:dyDescent="0.25">
      <c r="C24" s="60"/>
      <c r="D24" s="60"/>
      <c r="E24" s="60"/>
      <c r="F24" s="60"/>
      <c r="G24" s="60"/>
      <c r="H24" s="60"/>
      <c r="I24" s="60"/>
    </row>
  </sheetData>
  <mergeCells count="2">
    <mergeCell ref="F22:G22"/>
    <mergeCell ref="B2:K2"/>
  </mergeCells>
  <pageMargins left="0.51181102362204722" right="0.51181102362204722" top="0.78740157480314965" bottom="0.78740157480314965" header="0.31496062992125984" footer="0.31496062992125984"/>
  <pageSetup paperSize="9" scale="9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view="pageBreakPreview" zoomScale="85" zoomScaleNormal="100" zoomScaleSheetLayoutView="85" workbookViewId="0">
      <selection activeCell="E10" sqref="E10"/>
    </sheetView>
  </sheetViews>
  <sheetFormatPr defaultRowHeight="16.5" x14ac:dyDescent="0.3"/>
  <cols>
    <col min="1" max="1" width="8.7109375" style="26" customWidth="1"/>
    <col min="2" max="2" width="25.42578125" style="26" customWidth="1"/>
    <col min="3" max="3" width="12.7109375" style="26" bestFit="1" customWidth="1"/>
    <col min="4" max="4" width="12.85546875" style="26" customWidth="1"/>
    <col min="5" max="5" width="13.85546875" style="26" bestFit="1" customWidth="1"/>
    <col min="6" max="9" width="12.7109375" style="26" bestFit="1" customWidth="1"/>
    <col min="10" max="11" width="13.85546875" style="26" bestFit="1" customWidth="1"/>
    <col min="12" max="12" width="15.140625" style="26" customWidth="1"/>
    <col min="13" max="13" width="8.7109375" style="26" customWidth="1"/>
    <col min="14" max="16384" width="9.140625" style="26"/>
  </cols>
  <sheetData>
    <row r="1" spans="2:13" ht="16.5" customHeight="1" x14ac:dyDescent="0.3"/>
    <row r="2" spans="2:13" ht="51.75" customHeight="1" x14ac:dyDescent="0.3">
      <c r="B2" s="569" t="str">
        <f>CONCATENATE("Cronograma Físico Financeiro com BDI - Município de ",'Dados Gerais do Município'!D8)</f>
        <v>Cronograma Físico Financeiro com BDI - Município de Exemplo</v>
      </c>
      <c r="C2" s="570"/>
      <c r="D2" s="570"/>
      <c r="E2" s="570"/>
      <c r="F2" s="570"/>
      <c r="G2" s="570"/>
      <c r="H2" s="570"/>
      <c r="I2" s="570"/>
      <c r="J2" s="570"/>
      <c r="K2" s="570"/>
      <c r="L2" s="571"/>
      <c r="M2" s="46"/>
    </row>
    <row r="3" spans="2:13" hidden="1" x14ac:dyDescent="0.3"/>
    <row r="4" spans="2:13" hidden="1" x14ac:dyDescent="0.3"/>
    <row r="5" spans="2:13" ht="16.5" customHeight="1" x14ac:dyDescent="0.3">
      <c r="B5" s="32"/>
      <c r="C5" s="46"/>
      <c r="D5" s="46"/>
      <c r="E5" s="46"/>
      <c r="F5" s="46"/>
      <c r="G5" s="46"/>
      <c r="H5" s="46"/>
      <c r="I5" s="50"/>
      <c r="J5" s="50"/>
      <c r="K5" s="46"/>
      <c r="L5" s="46"/>
      <c r="M5" s="46"/>
    </row>
    <row r="6" spans="2:13" x14ac:dyDescent="0.3">
      <c r="B6" s="566" t="s">
        <v>147</v>
      </c>
      <c r="C6" s="567"/>
      <c r="D6" s="567"/>
      <c r="E6" s="567"/>
      <c r="F6" s="567"/>
      <c r="G6" s="567"/>
      <c r="H6" s="567"/>
      <c r="I6" s="567"/>
      <c r="J6" s="567"/>
      <c r="K6" s="567"/>
      <c r="L6" s="568"/>
      <c r="M6" s="46"/>
    </row>
    <row r="7" spans="2:13" x14ac:dyDescent="0.3">
      <c r="B7" s="399" t="s">
        <v>45</v>
      </c>
      <c r="C7" s="400" t="s">
        <v>17</v>
      </c>
      <c r="D7" s="400" t="s">
        <v>18</v>
      </c>
      <c r="E7" s="400" t="s">
        <v>19</v>
      </c>
      <c r="F7" s="400" t="s">
        <v>20</v>
      </c>
      <c r="G7" s="400" t="s">
        <v>21</v>
      </c>
      <c r="H7" s="400" t="s">
        <v>22</v>
      </c>
      <c r="I7" s="400" t="s">
        <v>23</v>
      </c>
      <c r="J7" s="400" t="s">
        <v>24</v>
      </c>
      <c r="K7" s="400" t="s">
        <v>43</v>
      </c>
      <c r="L7" s="401" t="s">
        <v>44</v>
      </c>
      <c r="M7" s="46"/>
    </row>
    <row r="8" spans="2:13" x14ac:dyDescent="0.3">
      <c r="B8" s="402" t="s">
        <v>46</v>
      </c>
      <c r="C8" s="397">
        <f>('Distribuição Custos Variáveis'!C22+'Distribuição Custos FIXOS'!C24)*(1+BDI!$G$14)</f>
        <v>0</v>
      </c>
      <c r="D8" s="398">
        <f>('Distribuição Custos Variáveis'!D22+'Distribuição Custos FIXOS'!D24)*(1+BDI!$G$14)</f>
        <v>0</v>
      </c>
      <c r="E8" s="398">
        <f>('Distribuição Custos Variáveis'!E22+'Distribuição Custos FIXOS'!E24)*(1+BDI!$G$14)</f>
        <v>0</v>
      </c>
      <c r="F8" s="398">
        <f>('Distribuição Custos Variáveis'!F22+'Distribuição Custos FIXOS'!F24)*(1+BDI!$G$14)</f>
        <v>0</v>
      </c>
      <c r="G8" s="398">
        <f>('Distribuição Custos Variáveis'!G22+'Distribuição Custos FIXOS'!G24)*(1+BDI!$G$14)</f>
        <v>0</v>
      </c>
      <c r="H8" s="398">
        <f>('Distribuição Custos Variáveis'!H22+'Distribuição Custos FIXOS'!H24)*(1+BDI!$G$14)</f>
        <v>0</v>
      </c>
      <c r="I8" s="398">
        <f>('Distribuição Custos Variáveis'!I22+'Distribuição Custos FIXOS'!I24)*(1+BDI!$G$14)</f>
        <v>0</v>
      </c>
      <c r="J8" s="398">
        <f>('Distribuição Custos Variáveis'!J22+'Distribuição Custos FIXOS'!J24)*(1+BDI!$G$14)</f>
        <v>0</v>
      </c>
      <c r="K8" s="391">
        <f t="shared" ref="K8:K15" si="0">SUM(C8:J8)</f>
        <v>0</v>
      </c>
      <c r="L8" s="393" t="e">
        <f t="shared" ref="L8:L13" si="1">K8/$K$15</f>
        <v>#DIV/0!</v>
      </c>
      <c r="M8" s="46"/>
    </row>
    <row r="9" spans="2:13" x14ac:dyDescent="0.3">
      <c r="B9" s="403" t="s">
        <v>47</v>
      </c>
      <c r="C9" s="175">
        <f>('Distribuição Custos Variáveis'!C23+'Distribuição Custos FIXOS'!C25)*(1+BDI!$G$14)</f>
        <v>0</v>
      </c>
      <c r="D9" s="176">
        <f>('Distribuição Custos Variáveis'!D23+'Distribuição Custos FIXOS'!D25)*(1+BDI!$G$14)</f>
        <v>0</v>
      </c>
      <c r="E9" s="177">
        <f>('Distribuição Custos Variáveis'!E23+'Distribuição Custos FIXOS'!E25)*(1+BDI!$G$14)</f>
        <v>0</v>
      </c>
      <c r="F9" s="177">
        <f>('Distribuição Custos Variáveis'!F23+'Distribuição Custos FIXOS'!F25)*(1+BDI!$G$14)</f>
        <v>0</v>
      </c>
      <c r="G9" s="177">
        <f>('Distribuição Custos Variáveis'!G23+'Distribuição Custos FIXOS'!G25)*(1+BDI!$G$14)</f>
        <v>0</v>
      </c>
      <c r="H9" s="177">
        <f>('Distribuição Custos Variáveis'!H23+'Distribuição Custos FIXOS'!H25)*(1+BDI!$G$14)</f>
        <v>0</v>
      </c>
      <c r="I9" s="177">
        <f>('Distribuição Custos Variáveis'!I23+'Distribuição Custos FIXOS'!I25)*(1+BDI!$G$14)</f>
        <v>0</v>
      </c>
      <c r="J9" s="177">
        <f>('Distribuição Custos Variáveis'!J23+'Distribuição Custos FIXOS'!J25)*(1+BDI!$G$14)</f>
        <v>0</v>
      </c>
      <c r="K9" s="391">
        <f t="shared" si="0"/>
        <v>0</v>
      </c>
      <c r="L9" s="393" t="e">
        <f t="shared" si="1"/>
        <v>#DIV/0!</v>
      </c>
      <c r="M9" s="46"/>
    </row>
    <row r="10" spans="2:13" x14ac:dyDescent="0.3">
      <c r="B10" s="403" t="s">
        <v>48</v>
      </c>
      <c r="C10" s="175">
        <f>('Distribuição Custos Variáveis'!C24+'Distribuição Custos FIXOS'!C26)*(1+BDI!$G$14)</f>
        <v>0</v>
      </c>
      <c r="D10" s="176">
        <f>('Distribuição Custos Variáveis'!D24+'Distribuição Custos FIXOS'!D26)*(1+BDI!$G$14)</f>
        <v>0</v>
      </c>
      <c r="E10" s="176">
        <f>('Distribuição Custos Variáveis'!E24+'Distribuição Custos FIXOS'!E26)*(1+BDI!$G$14)</f>
        <v>0</v>
      </c>
      <c r="F10" s="176">
        <f>('Distribuição Custos Variáveis'!F24+'Distribuição Custos FIXOS'!F26)*(1+BDI!$G$14)</f>
        <v>0</v>
      </c>
      <c r="G10" s="177">
        <f>('Distribuição Custos Variáveis'!G24+'Distribuição Custos FIXOS'!G26)*(1+BDI!$G$14)</f>
        <v>0</v>
      </c>
      <c r="H10" s="177">
        <f>('Distribuição Custos Variáveis'!H24+'Distribuição Custos FIXOS'!H26)*(1+BDI!$G$14)</f>
        <v>0</v>
      </c>
      <c r="I10" s="177">
        <f>('Distribuição Custos Variáveis'!I24+'Distribuição Custos FIXOS'!I26)*(1+BDI!$G$14)</f>
        <v>0</v>
      </c>
      <c r="J10" s="177">
        <f>('Distribuição Custos Variáveis'!J24+'Distribuição Custos FIXOS'!J26)*(1+BDI!$G$14)</f>
        <v>0</v>
      </c>
      <c r="K10" s="391">
        <f t="shared" si="0"/>
        <v>0</v>
      </c>
      <c r="L10" s="393" t="e">
        <f t="shared" si="1"/>
        <v>#DIV/0!</v>
      </c>
      <c r="M10" s="46"/>
    </row>
    <row r="11" spans="2:13" x14ac:dyDescent="0.3">
      <c r="B11" s="403" t="s">
        <v>49</v>
      </c>
      <c r="C11" s="178">
        <f>('Distribuição Custos Variáveis'!C25+'Distribuição Custos FIXOS'!C27)*(1+BDI!$G$14)</f>
        <v>0</v>
      </c>
      <c r="D11" s="179">
        <f>('Distribuição Custos Variáveis'!D25+'Distribuição Custos FIXOS'!D27)*(1+BDI!$G$14)</f>
        <v>0</v>
      </c>
      <c r="E11" s="179">
        <f>('Distribuição Custos Variáveis'!E25+'Distribuição Custos FIXOS'!E27)*(1+BDI!$G$14)</f>
        <v>0</v>
      </c>
      <c r="F11" s="176">
        <f>('Distribuição Custos Variáveis'!F25+'Distribuição Custos FIXOS'!F27)*(1+BDI!$G$14)</f>
        <v>0</v>
      </c>
      <c r="G11" s="176">
        <f>('Distribuição Custos Variáveis'!G25+'Distribuição Custos FIXOS'!G27)*(1+BDI!$G$14)</f>
        <v>0</v>
      </c>
      <c r="H11" s="177">
        <f>('Distribuição Custos Variáveis'!H25+'Distribuição Custos FIXOS'!H27)*(1+BDI!$G$14)</f>
        <v>0</v>
      </c>
      <c r="I11" s="177">
        <f>('Distribuição Custos Variáveis'!I25+'Distribuição Custos FIXOS'!I27)*(1+BDI!$G$14)</f>
        <v>0</v>
      </c>
      <c r="J11" s="177">
        <f>('Distribuição Custos Variáveis'!J25+'Distribuição Custos FIXOS'!J27)*(1+BDI!$G$14)</f>
        <v>0</v>
      </c>
      <c r="K11" s="391">
        <f t="shared" si="0"/>
        <v>0</v>
      </c>
      <c r="L11" s="393" t="e">
        <f t="shared" si="1"/>
        <v>#DIV/0!</v>
      </c>
      <c r="M11" s="46"/>
    </row>
    <row r="12" spans="2:13" x14ac:dyDescent="0.3">
      <c r="B12" s="403" t="s">
        <v>50</v>
      </c>
      <c r="C12" s="178">
        <f>('Distribuição Custos Variáveis'!C26+'Distribuição Custos FIXOS'!C28)*(1+BDI!$G$14)</f>
        <v>0</v>
      </c>
      <c r="D12" s="179">
        <f>('Distribuição Custos Variáveis'!D26+'Distribuição Custos FIXOS'!D28)*(1+BDI!$G$14)</f>
        <v>0</v>
      </c>
      <c r="E12" s="179">
        <f>('Distribuição Custos Variáveis'!E26+'Distribuição Custos FIXOS'!E28)*(1+BDI!$G$14)</f>
        <v>0</v>
      </c>
      <c r="F12" s="179">
        <f>('Distribuição Custos Variáveis'!F26+'Distribuição Custos FIXOS'!F28)*(1+BDI!$G$14)</f>
        <v>0</v>
      </c>
      <c r="G12" s="176">
        <f>('Distribuição Custos Variáveis'!G26+'Distribuição Custos FIXOS'!G28)*(1+BDI!$G$14)</f>
        <v>0</v>
      </c>
      <c r="H12" s="176">
        <f>('Distribuição Custos Variáveis'!H26+'Distribuição Custos FIXOS'!H28)*(1+BDI!$G$14)</f>
        <v>0</v>
      </c>
      <c r="I12" s="176">
        <f>('Distribuição Custos Variáveis'!I26+'Distribuição Custos FIXOS'!I28)*(1+BDI!$G$14)</f>
        <v>0</v>
      </c>
      <c r="J12" s="408">
        <f>('Distribuição Custos Variáveis'!J26+'Distribuição Custos FIXOS'!J28)*(1+BDI!$G$14)</f>
        <v>0</v>
      </c>
      <c r="K12" s="391">
        <f t="shared" si="0"/>
        <v>0</v>
      </c>
      <c r="L12" s="393" t="e">
        <f t="shared" si="1"/>
        <v>#DIV/0!</v>
      </c>
      <c r="M12" s="46"/>
    </row>
    <row r="13" spans="2:13" x14ac:dyDescent="0.3">
      <c r="B13" s="403" t="s">
        <v>51</v>
      </c>
      <c r="C13" s="178">
        <f>('Distribuição Custos Variáveis'!C27+'Distribuição Custos FIXOS'!C29)*(1+BDI!$G$14)</f>
        <v>0</v>
      </c>
      <c r="D13" s="179">
        <f>('Distribuição Custos Variáveis'!D27+'Distribuição Custos FIXOS'!D29)*(1+BDI!$G$14)</f>
        <v>0</v>
      </c>
      <c r="E13" s="179">
        <f>('Distribuição Custos Variáveis'!E27+'Distribuição Custos FIXOS'!E29)*(1+BDI!$G$14)</f>
        <v>0</v>
      </c>
      <c r="F13" s="179">
        <f>('Distribuição Custos Variáveis'!F27+'Distribuição Custos FIXOS'!F29)*(1+BDI!$G$14)</f>
        <v>0</v>
      </c>
      <c r="G13" s="176">
        <f>('Distribuição Custos Variáveis'!G27+'Distribuição Custos FIXOS'!G29)*(1+BDI!$G$14)</f>
        <v>0</v>
      </c>
      <c r="H13" s="176">
        <f>('Distribuição Custos Variáveis'!H27+'Distribuição Custos FIXOS'!H29)*(1+BDI!$G$14)</f>
        <v>0</v>
      </c>
      <c r="I13" s="176">
        <f>('Distribuição Custos Variáveis'!I27+'Distribuição Custos FIXOS'!I29)*(1+BDI!$G$14)</f>
        <v>0</v>
      </c>
      <c r="J13" s="176">
        <f>('Distribuição Custos Variáveis'!J27+'Distribuição Custos FIXOS'!J29)*(1+BDI!$G$14)</f>
        <v>0</v>
      </c>
      <c r="K13" s="391">
        <f t="shared" si="0"/>
        <v>0</v>
      </c>
      <c r="L13" s="393" t="e">
        <f t="shared" si="1"/>
        <v>#DIV/0!</v>
      </c>
      <c r="M13" s="46"/>
    </row>
    <row r="14" spans="2:13" x14ac:dyDescent="0.3">
      <c r="B14" s="404" t="s">
        <v>52</v>
      </c>
      <c r="C14" s="178">
        <f>('Distribuição Custos Variáveis'!C28+'Distribuição Custos FIXOS'!C30)*(1+BDI!$G$14)</f>
        <v>0</v>
      </c>
      <c r="D14" s="179">
        <f>('Distribuição Custos Variáveis'!D28+'Distribuição Custos FIXOS'!D30)*(1+BDI!$G$14)</f>
        <v>0</v>
      </c>
      <c r="E14" s="179">
        <f>('Distribuição Custos Variáveis'!E28+'Distribuição Custos FIXOS'!E30)*(1+BDI!$G$14)</f>
        <v>0</v>
      </c>
      <c r="F14" s="179">
        <f>('Distribuição Custos Variáveis'!F28+'Distribuição Custos FIXOS'!F30)*(1+BDI!$G$14)</f>
        <v>0</v>
      </c>
      <c r="G14" s="179">
        <f>('Distribuição Custos Variáveis'!G28+'Distribuição Custos FIXOS'!G30)*(1+BDI!$G$14)</f>
        <v>0</v>
      </c>
      <c r="H14" s="179">
        <f>('Distribuição Custos Variáveis'!H28+'Distribuição Custos FIXOS'!H30)*(1+BDI!$G$14)</f>
        <v>0</v>
      </c>
      <c r="I14" s="176">
        <f>('Distribuição Custos Variáveis'!I28+'Distribuição Custos FIXOS'!I30)*(1+BDI!$G$14)</f>
        <v>0</v>
      </c>
      <c r="J14" s="176">
        <f>('Distribuição Custos Variáveis'!J28+'Distribuição Custos FIXOS'!J30)*(1+BDI!$G$14)</f>
        <v>0</v>
      </c>
      <c r="K14" s="391">
        <f t="shared" si="0"/>
        <v>0</v>
      </c>
      <c r="L14" s="393" t="e">
        <f t="shared" ref="L14" si="2">K14/$K$15</f>
        <v>#DIV/0!</v>
      </c>
      <c r="M14" s="46"/>
    </row>
    <row r="15" spans="2:13" x14ac:dyDescent="0.3">
      <c r="B15" s="394" t="s">
        <v>32</v>
      </c>
      <c r="C15" s="392">
        <f>SUM(C8:C14)</f>
        <v>0</v>
      </c>
      <c r="D15" s="392">
        <f t="shared" ref="D15:J15" si="3">SUM(D8:D14)</f>
        <v>0</v>
      </c>
      <c r="E15" s="392">
        <f t="shared" si="3"/>
        <v>0</v>
      </c>
      <c r="F15" s="392">
        <f t="shared" si="3"/>
        <v>0</v>
      </c>
      <c r="G15" s="392">
        <f t="shared" si="3"/>
        <v>0</v>
      </c>
      <c r="H15" s="392">
        <f t="shared" si="3"/>
        <v>0</v>
      </c>
      <c r="I15" s="392">
        <f t="shared" si="3"/>
        <v>0</v>
      </c>
      <c r="J15" s="392">
        <f t="shared" si="3"/>
        <v>0</v>
      </c>
      <c r="K15" s="405">
        <f t="shared" si="0"/>
        <v>0</v>
      </c>
      <c r="L15" s="406" t="e">
        <f>K15/$K$15</f>
        <v>#DIV/0!</v>
      </c>
      <c r="M15" s="46"/>
    </row>
    <row r="16" spans="2:13" x14ac:dyDescent="0.3">
      <c r="B16" s="395" t="s">
        <v>129</v>
      </c>
      <c r="C16" s="396" t="e">
        <f t="shared" ref="C16:K16" si="4">C15/SUM($C$15:$J$15)</f>
        <v>#DIV/0!</v>
      </c>
      <c r="D16" s="396" t="e">
        <f t="shared" si="4"/>
        <v>#DIV/0!</v>
      </c>
      <c r="E16" s="396" t="e">
        <f t="shared" si="4"/>
        <v>#DIV/0!</v>
      </c>
      <c r="F16" s="396" t="e">
        <f t="shared" si="4"/>
        <v>#DIV/0!</v>
      </c>
      <c r="G16" s="396" t="e">
        <f t="shared" si="4"/>
        <v>#DIV/0!</v>
      </c>
      <c r="H16" s="396" t="e">
        <f t="shared" si="4"/>
        <v>#DIV/0!</v>
      </c>
      <c r="I16" s="396" t="e">
        <f t="shared" si="4"/>
        <v>#DIV/0!</v>
      </c>
      <c r="J16" s="396" t="e">
        <f t="shared" si="4"/>
        <v>#DIV/0!</v>
      </c>
      <c r="K16" s="407" t="e">
        <f t="shared" si="4"/>
        <v>#DIV/0!</v>
      </c>
      <c r="L16" s="46"/>
      <c r="M16" s="46"/>
    </row>
    <row r="17" spans="2:13" ht="16.5" customHeight="1" x14ac:dyDescent="0.3"/>
    <row r="26" spans="2:13" x14ac:dyDescent="0.3">
      <c r="B26" s="32"/>
      <c r="C26" s="46"/>
      <c r="D26" s="46"/>
      <c r="E26" s="46"/>
      <c r="F26" s="46"/>
      <c r="G26" s="46"/>
      <c r="H26" s="46"/>
      <c r="I26" s="50"/>
      <c r="J26" s="50"/>
      <c r="K26" s="46"/>
      <c r="L26" s="46"/>
      <c r="M26" s="46"/>
    </row>
    <row r="27" spans="2:13" x14ac:dyDescent="0.3">
      <c r="F27" s="44"/>
      <c r="K27" s="46"/>
    </row>
  </sheetData>
  <mergeCells count="2">
    <mergeCell ref="B6:L6"/>
    <mergeCell ref="B2:L2"/>
  </mergeCells>
  <pageMargins left="0.15748031496062992" right="0.15748031496062992" top="0.78740157480314965" bottom="0.78740157480314965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view="pageBreakPreview" zoomScale="85" zoomScaleNormal="100" zoomScaleSheetLayoutView="85" workbookViewId="0">
      <selection activeCell="B20" sqref="B20:C20"/>
    </sheetView>
  </sheetViews>
  <sheetFormatPr defaultRowHeight="15" x14ac:dyDescent="0.25"/>
  <cols>
    <col min="1" max="1" width="8.7109375" style="66" customWidth="1"/>
    <col min="2" max="2" width="66.28515625" customWidth="1"/>
    <col min="3" max="3" width="14.28515625" bestFit="1" customWidth="1"/>
    <col min="4" max="4" width="14.28515625" customWidth="1"/>
    <col min="5" max="5" width="12.42578125" bestFit="1" customWidth="1"/>
    <col min="6" max="6" width="30.5703125" customWidth="1"/>
    <col min="7" max="7" width="8.7109375" customWidth="1"/>
    <col min="8" max="9" width="14.28515625" bestFit="1" customWidth="1"/>
    <col min="10" max="10" width="17.28515625" bestFit="1" customWidth="1"/>
    <col min="11" max="11" width="14.5703125" bestFit="1" customWidth="1"/>
    <col min="12" max="12" width="23.5703125" bestFit="1" customWidth="1"/>
    <col min="13" max="13" width="24.5703125" bestFit="1" customWidth="1"/>
    <col min="14" max="14" width="17.7109375" bestFit="1" customWidth="1"/>
    <col min="15" max="15" width="21.140625" bestFit="1" customWidth="1"/>
    <col min="16" max="16" width="22.7109375" bestFit="1" customWidth="1"/>
    <col min="17" max="17" width="22" bestFit="1" customWidth="1"/>
    <col min="18" max="18" width="9.85546875" bestFit="1" customWidth="1"/>
    <col min="19" max="19" width="25.5703125" bestFit="1" customWidth="1"/>
    <col min="20" max="20" width="29.7109375" bestFit="1" customWidth="1"/>
    <col min="21" max="21" width="14.5703125" bestFit="1" customWidth="1"/>
    <col min="22" max="22" width="13.42578125" bestFit="1" customWidth="1"/>
  </cols>
  <sheetData>
    <row r="1" spans="1:22" s="68" customFormat="1" ht="16.5" customHeight="1" x14ac:dyDescent="0.25"/>
    <row r="2" spans="1:22" ht="25.5" customHeight="1" x14ac:dyDescent="0.25">
      <c r="A2" s="68"/>
      <c r="B2" s="572" t="str">
        <f>CONCATENATE("Curva ABC (Opcional) - Município de ",'Dados Gerais do Município'!$D$8)</f>
        <v>Curva ABC (Opcional) - Município de Exemplo</v>
      </c>
      <c r="C2" s="573"/>
      <c r="D2" s="573"/>
      <c r="E2" s="573"/>
      <c r="F2" s="574"/>
      <c r="G2" s="68"/>
    </row>
    <row r="3" spans="1:22" ht="16.5" customHeight="1" x14ac:dyDescent="0.25"/>
    <row r="4" spans="1:22" ht="27.75" customHeight="1" x14ac:dyDescent="0.25">
      <c r="B4" s="409" t="s">
        <v>132</v>
      </c>
      <c r="C4" s="410" t="s">
        <v>134</v>
      </c>
      <c r="D4" s="410" t="s">
        <v>136</v>
      </c>
      <c r="E4" s="410" t="s">
        <v>129</v>
      </c>
      <c r="F4" s="411" t="s">
        <v>130</v>
      </c>
    </row>
    <row r="5" spans="1:22" ht="16.5" customHeight="1" x14ac:dyDescent="0.25">
      <c r="B5" s="93"/>
      <c r="C5" s="93"/>
      <c r="D5" s="93"/>
      <c r="E5" s="93"/>
      <c r="F5" s="93"/>
    </row>
    <row r="6" spans="1:22" ht="47.25" x14ac:dyDescent="0.25">
      <c r="B6" s="272" t="str">
        <f>'Equipe Técnica Permanente'!C10</f>
        <v>Profissional com formação em Ciências Sociais e Humanas, com destaque para Sociólogo, Pedagogo e Assistente Social</v>
      </c>
      <c r="C6" s="412">
        <f>'Equipe Técnica Permanente'!$H$10*C21</f>
        <v>0</v>
      </c>
      <c r="D6" s="412">
        <f>C6*(1+BDI!$G$14)</f>
        <v>0</v>
      </c>
      <c r="E6" s="413" t="e">
        <f t="shared" ref="E6:E18" si="0">D6/SUM($D$6:$D$18)</f>
        <v>#VALUE!</v>
      </c>
      <c r="F6" s="414" t="e">
        <f>E6</f>
        <v>#VALUE!</v>
      </c>
      <c r="G6" s="68"/>
      <c r="H6" s="68"/>
      <c r="I6" s="68"/>
      <c r="J6" s="68"/>
      <c r="K6" s="68"/>
      <c r="L6" s="68"/>
    </row>
    <row r="7" spans="1:22" ht="12" customHeight="1" x14ac:dyDescent="0.25">
      <c r="A7" s="68"/>
      <c r="B7" s="346" t="s">
        <v>160</v>
      </c>
      <c r="C7" s="387">
        <f>'Resumo Final'!J8-C22*'Audiência Municipal'!G21</f>
        <v>0</v>
      </c>
      <c r="D7" s="387">
        <f>C7*(1+BDI!$G$14)</f>
        <v>0</v>
      </c>
      <c r="E7" s="388" t="e">
        <f t="shared" si="0"/>
        <v>#VALUE!</v>
      </c>
      <c r="F7" s="415" t="e">
        <f t="shared" ref="F7:F18" si="1">E7+F6</f>
        <v>#VALUE!</v>
      </c>
      <c r="G7" s="68"/>
      <c r="H7" s="68"/>
      <c r="I7" s="68"/>
      <c r="J7" s="68"/>
      <c r="K7" s="68"/>
      <c r="L7" s="68"/>
    </row>
    <row r="8" spans="1:22" ht="26.25" customHeight="1" x14ac:dyDescent="0.25">
      <c r="A8" s="68"/>
      <c r="B8" s="346" t="str">
        <f>'Equipe Técnica Permanente'!C9</f>
        <v>Engenheiro (Ambiental, Civil ou Sanitarista)</v>
      </c>
      <c r="C8" s="387">
        <f>'Equipe Técnica Permanente'!$H$9*C21</f>
        <v>0</v>
      </c>
      <c r="D8" s="387">
        <f>C8*(1+BDI!$G$14)</f>
        <v>0</v>
      </c>
      <c r="E8" s="388" t="e">
        <f t="shared" si="0"/>
        <v>#VALUE!</v>
      </c>
      <c r="F8" s="415" t="e">
        <f t="shared" si="1"/>
        <v>#VALUE!</v>
      </c>
      <c r="G8" s="68"/>
      <c r="H8" s="68"/>
      <c r="I8" s="68"/>
      <c r="J8" s="68"/>
      <c r="K8" s="68"/>
      <c r="L8" s="68"/>
      <c r="M8" s="60"/>
      <c r="N8" s="60"/>
      <c r="O8" s="60"/>
      <c r="P8" s="60"/>
      <c r="Q8" s="60"/>
      <c r="R8" s="60"/>
      <c r="S8" s="60"/>
      <c r="T8" s="60"/>
      <c r="U8" s="60"/>
      <c r="V8" s="60"/>
    </row>
    <row r="9" spans="1:22" ht="15" customHeight="1" x14ac:dyDescent="0.25">
      <c r="A9" s="68"/>
      <c r="B9" s="346" t="str">
        <f>'Equipe Técnica Permanente'!C8</f>
        <v>Engenheiro Coordenador (Ambiental, Civil ou Sanitarista)</v>
      </c>
      <c r="C9" s="387">
        <f>'Equipe Técnica Permanente'!$H$8*C21</f>
        <v>0</v>
      </c>
      <c r="D9" s="387">
        <f>C9*(1+BDI!$G$14)</f>
        <v>0</v>
      </c>
      <c r="E9" s="388" t="e">
        <f t="shared" si="0"/>
        <v>#VALUE!</v>
      </c>
      <c r="F9" s="415" t="e">
        <f t="shared" si="1"/>
        <v>#VALUE!</v>
      </c>
      <c r="G9" s="68"/>
      <c r="H9" s="68"/>
      <c r="I9" s="68"/>
      <c r="J9" s="68"/>
      <c r="K9" s="68"/>
      <c r="L9" s="68"/>
    </row>
    <row r="10" spans="1:22" ht="15" customHeight="1" x14ac:dyDescent="0.25">
      <c r="A10" s="68"/>
      <c r="B10" s="346" t="s">
        <v>135</v>
      </c>
      <c r="C10" s="387">
        <f>'Estrutura de apoio'!G15*C21</f>
        <v>0</v>
      </c>
      <c r="D10" s="387">
        <f>C10*(1+BDI!$G$14)</f>
        <v>0</v>
      </c>
      <c r="E10" s="388" t="e">
        <f t="shared" si="0"/>
        <v>#VALUE!</v>
      </c>
      <c r="F10" s="415" t="e">
        <f t="shared" si="1"/>
        <v>#VALUE!</v>
      </c>
      <c r="G10" s="68"/>
      <c r="H10" s="68"/>
      <c r="I10" s="68"/>
      <c r="J10" s="68"/>
      <c r="K10" s="68"/>
      <c r="L10" s="68"/>
    </row>
    <row r="11" spans="1:22" ht="21" customHeight="1" x14ac:dyDescent="0.25">
      <c r="A11" s="68"/>
      <c r="B11" s="346" t="s">
        <v>468</v>
      </c>
      <c r="C11" s="387">
        <f>'Audiência Municipal'!G21*C22</f>
        <v>0</v>
      </c>
      <c r="D11" s="387">
        <f>C11*(1+BDI!$G$14)</f>
        <v>0</v>
      </c>
      <c r="E11" s="388" t="e">
        <f t="shared" si="0"/>
        <v>#VALUE!</v>
      </c>
      <c r="F11" s="415" t="e">
        <f t="shared" si="1"/>
        <v>#VALUE!</v>
      </c>
      <c r="G11" s="68"/>
      <c r="H11" s="68"/>
      <c r="I11" s="68"/>
      <c r="J11" s="68"/>
      <c r="K11" s="68"/>
      <c r="L11" s="68"/>
    </row>
    <row r="12" spans="1:22" ht="15" customHeight="1" x14ac:dyDescent="0.25">
      <c r="A12" s="68"/>
      <c r="B12" s="346" t="s">
        <v>35</v>
      </c>
      <c r="C12" s="387" t="e">
        <f>'Equipe Técnica Eventual'!L18</f>
        <v>#VALUE!</v>
      </c>
      <c r="D12" s="387" t="e">
        <f>C12*(1+BDI!$G$14)</f>
        <v>#VALUE!</v>
      </c>
      <c r="E12" s="388" t="e">
        <f t="shared" si="0"/>
        <v>#VALUE!</v>
      </c>
      <c r="F12" s="415" t="e">
        <f t="shared" si="1"/>
        <v>#VALUE!</v>
      </c>
      <c r="G12" s="68"/>
      <c r="H12" s="68"/>
      <c r="I12" s="68"/>
      <c r="J12" s="68"/>
      <c r="K12" s="68"/>
      <c r="L12" s="68"/>
    </row>
    <row r="13" spans="1:22" ht="15.75" x14ac:dyDescent="0.25">
      <c r="B13" s="346" t="str">
        <f>'Equipe Técnica Permanente'!C14</f>
        <v>Estagiário em Engenharia Ambiental, Civil ou Sanitária</v>
      </c>
      <c r="C13" s="387">
        <f>'Equipe Técnica Permanente'!$H$14*C21</f>
        <v>0</v>
      </c>
      <c r="D13" s="387">
        <f>C13*(1+BDI!$G$14)</f>
        <v>0</v>
      </c>
      <c r="E13" s="388" t="e">
        <f t="shared" si="0"/>
        <v>#VALUE!</v>
      </c>
      <c r="F13" s="415" t="e">
        <f t="shared" si="1"/>
        <v>#VALUE!</v>
      </c>
      <c r="G13" s="68"/>
      <c r="H13" s="68"/>
      <c r="I13" s="68"/>
      <c r="J13" s="68"/>
      <c r="K13" s="68"/>
      <c r="L13" s="68"/>
    </row>
    <row r="14" spans="1:22" ht="15" customHeight="1" x14ac:dyDescent="0.25">
      <c r="B14" s="346" t="str">
        <f>'Equipe Técnica Permanente'!C17</f>
        <v>Secretária</v>
      </c>
      <c r="C14" s="387">
        <f>'Equipe Técnica Permanente'!$H$17*C21</f>
        <v>0</v>
      </c>
      <c r="D14" s="387">
        <f>C14*(1+BDI!$G$14)</f>
        <v>0</v>
      </c>
      <c r="E14" s="388" t="e">
        <f t="shared" si="0"/>
        <v>#VALUE!</v>
      </c>
      <c r="F14" s="415" t="e">
        <f t="shared" si="1"/>
        <v>#VALUE!</v>
      </c>
      <c r="G14" s="68"/>
      <c r="H14" s="68"/>
      <c r="I14" s="68"/>
      <c r="J14" s="68"/>
      <c r="K14" s="68"/>
      <c r="L14" s="68"/>
    </row>
    <row r="15" spans="1:22" ht="30" customHeight="1" x14ac:dyDescent="0.25">
      <c r="B15" s="346" t="str">
        <f>'Equipe Técnica Permanente'!C15</f>
        <v>Estagiário em Sociologia ou Pedagogia ou Ciências Humanas</v>
      </c>
      <c r="C15" s="387">
        <f>'Equipe Técnica Permanente'!$H$15*C21</f>
        <v>0</v>
      </c>
      <c r="D15" s="387">
        <f>C15*(1+BDI!$G$14)</f>
        <v>0</v>
      </c>
      <c r="E15" s="388" t="e">
        <f>D15/SUM($D$6:$D$18)</f>
        <v>#VALUE!</v>
      </c>
      <c r="F15" s="415" t="e">
        <f>E15+F14</f>
        <v>#VALUE!</v>
      </c>
      <c r="G15" s="68"/>
      <c r="H15" s="68"/>
      <c r="I15" s="68"/>
      <c r="J15" s="68"/>
      <c r="K15" s="68"/>
      <c r="L15" s="68"/>
    </row>
    <row r="16" spans="1:22" ht="13.5" customHeight="1" x14ac:dyDescent="0.25">
      <c r="B16" s="346" t="str">
        <f>'Equipe Técnica Permanente'!C16</f>
        <v>Técnico em Informática</v>
      </c>
      <c r="C16" s="387">
        <f>'Equipe Técnica Permanente'!$H$16*C21</f>
        <v>0</v>
      </c>
      <c r="D16" s="387">
        <f>C16*(1+BDI!$G$14)</f>
        <v>0</v>
      </c>
      <c r="E16" s="388" t="e">
        <f t="shared" si="0"/>
        <v>#VALUE!</v>
      </c>
      <c r="F16" s="415" t="e">
        <f t="shared" si="1"/>
        <v>#VALUE!</v>
      </c>
      <c r="H16" s="67"/>
      <c r="I16" s="63"/>
    </row>
    <row r="17" spans="2:8" ht="18.75" customHeight="1" x14ac:dyDescent="0.25">
      <c r="B17" s="346" t="s">
        <v>109</v>
      </c>
      <c r="C17" s="387">
        <f>'Resumo Final'!J10</f>
        <v>0</v>
      </c>
      <c r="D17" s="387">
        <f>C17*(1+BDI!$G$14)</f>
        <v>0</v>
      </c>
      <c r="E17" s="388" t="e">
        <f t="shared" si="0"/>
        <v>#VALUE!</v>
      </c>
      <c r="F17" s="415" t="e">
        <f t="shared" si="1"/>
        <v>#VALUE!</v>
      </c>
      <c r="H17" s="67"/>
    </row>
    <row r="18" spans="2:8" ht="18.75" customHeight="1" x14ac:dyDescent="0.25">
      <c r="B18" s="416" t="s">
        <v>133</v>
      </c>
      <c r="C18" s="417">
        <f>'Resumo Final'!J12</f>
        <v>0</v>
      </c>
      <c r="D18" s="417">
        <f>C18*(1+BDI!$G$14)</f>
        <v>0</v>
      </c>
      <c r="E18" s="418" t="e">
        <f t="shared" si="0"/>
        <v>#VALUE!</v>
      </c>
      <c r="F18" s="419" t="e">
        <f t="shared" si="1"/>
        <v>#VALUE!</v>
      </c>
      <c r="H18" s="67"/>
    </row>
    <row r="19" spans="2:8" ht="16.5" customHeight="1" x14ac:dyDescent="0.25">
      <c r="B19" s="93"/>
      <c r="C19" s="93"/>
      <c r="D19" s="93"/>
      <c r="E19" s="93"/>
      <c r="F19" s="93"/>
    </row>
    <row r="20" spans="2:8" ht="16.5" customHeight="1" x14ac:dyDescent="0.25">
      <c r="B20" s="575" t="s">
        <v>271</v>
      </c>
      <c r="C20" s="575"/>
      <c r="D20" s="576" t="s">
        <v>278</v>
      </c>
      <c r="E20" s="577"/>
      <c r="F20" s="578"/>
    </row>
    <row r="21" spans="2:8" ht="34.5" customHeight="1" x14ac:dyDescent="0.25">
      <c r="B21" s="292" t="s">
        <v>272</v>
      </c>
      <c r="C21" s="292">
        <f>'Dados Gerais do Município'!D16</f>
        <v>8</v>
      </c>
      <c r="D21" s="575" t="str">
        <f>IF(C21='Dados Gerais do Município'!D16,"Valor Confere com Tempo de Execução Listado em Dados Gerais","Valor NÃO Confere com Tempo de Execução Listado em Dados Gerais")</f>
        <v>Valor Confere com Tempo de Execução Listado em Dados Gerais</v>
      </c>
      <c r="E21" s="575"/>
      <c r="F21" s="575"/>
    </row>
    <row r="22" spans="2:8" ht="15.75" x14ac:dyDescent="0.25">
      <c r="B22" s="292" t="s">
        <v>467</v>
      </c>
      <c r="C22" s="292">
        <f>'Dados Gerais do Município'!D15</f>
        <v>0</v>
      </c>
      <c r="D22" s="575" t="str">
        <f>IF(C22=SUM(PA!D16,PB!D16,PC!D16,PD!D16,PE!D16,PF!D16,PG!D16),"Somatório da Distribuição entre Produtos Confere","Somatório da Distribuição entre Produtos NÃO Confere")</f>
        <v>Somatório da Distribuição entre Produtos Confere</v>
      </c>
      <c r="E22" s="575"/>
      <c r="F22" s="575"/>
    </row>
    <row r="23" spans="2:8" ht="15.75" x14ac:dyDescent="0.25">
      <c r="B23" s="292" t="s">
        <v>273</v>
      </c>
      <c r="C23" s="292">
        <f>SUM('Dados Gerais do Município'!D12)</f>
        <v>0</v>
      </c>
      <c r="D23" s="575" t="str">
        <f>IF(C23=SUM(PA!D13,PB!D13,PC!D13,PD!D13,PE!D13,PF!D13,PG!D13),"Somatório da Distribuição entre Produtos Confere","Somatório da Distribuição entre Produtos NÃO Confere")</f>
        <v>Somatório da Distribuição entre Produtos Confere</v>
      </c>
      <c r="E23" s="575"/>
      <c r="F23" s="575"/>
    </row>
    <row r="24" spans="2:8" x14ac:dyDescent="0.25">
      <c r="B24" s="68"/>
      <c r="C24" s="68"/>
    </row>
  </sheetData>
  <autoFilter ref="B5:F18">
    <sortState ref="B5:G17">
      <sortCondition descending="1" ref="E4"/>
    </sortState>
  </autoFilter>
  <mergeCells count="6">
    <mergeCell ref="B2:F2"/>
    <mergeCell ref="D22:F22"/>
    <mergeCell ref="D23:F23"/>
    <mergeCell ref="B20:C20"/>
    <mergeCell ref="D20:F20"/>
    <mergeCell ref="D21:F21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zoomScale="85" zoomScaleNormal="85" workbookViewId="0">
      <selection activeCell="I7" sqref="I7"/>
    </sheetView>
  </sheetViews>
  <sheetFormatPr defaultRowHeight="15" x14ac:dyDescent="0.25"/>
  <cols>
    <col min="1" max="1" width="11.42578125" style="68" customWidth="1"/>
    <col min="2" max="2" width="17.85546875" style="68" customWidth="1"/>
    <col min="3" max="3" width="14.140625" style="68" customWidth="1"/>
    <col min="4" max="4" width="13" style="68" customWidth="1"/>
    <col min="5" max="5" width="14.42578125" style="68" customWidth="1"/>
    <col min="6" max="6" width="14.28515625" style="68" customWidth="1"/>
    <col min="7" max="7" width="14.42578125" style="68" customWidth="1"/>
    <col min="8" max="8" width="63.42578125" style="68" customWidth="1"/>
    <col min="9" max="9" width="28.5703125" style="68" customWidth="1"/>
    <col min="10" max="16384" width="9.140625" style="68"/>
  </cols>
  <sheetData>
    <row r="1" spans="2:9" ht="45" customHeight="1" thickBot="1" x14ac:dyDescent="0.3">
      <c r="B1" s="427" t="s">
        <v>239</v>
      </c>
      <c r="C1" s="579" t="s">
        <v>281</v>
      </c>
      <c r="D1" s="580"/>
      <c r="E1" s="581"/>
      <c r="F1" s="579" t="s">
        <v>240</v>
      </c>
      <c r="G1" s="580"/>
      <c r="H1" s="581"/>
      <c r="I1" s="427" t="s">
        <v>241</v>
      </c>
    </row>
    <row r="2" spans="2:9" ht="58.5" customHeight="1" x14ac:dyDescent="0.25">
      <c r="B2" s="428" t="s">
        <v>46</v>
      </c>
      <c r="C2" s="582" t="s">
        <v>242</v>
      </c>
      <c r="D2" s="583"/>
      <c r="E2" s="583"/>
      <c r="F2" s="583" t="str">
        <f>[1]PA!B5</f>
        <v>Portaria de nomeação do Comitê Executivo, Mapeamento dos atores locais, Proposta de Composição do Comitê de Coordenação, Proposta com a definição dos Setores de Mobilização (SM) e Relatório de Acompanhamento das Atividades.</v>
      </c>
      <c r="G2" s="583"/>
      <c r="H2" s="583"/>
      <c r="I2" s="423" t="s">
        <v>437</v>
      </c>
    </row>
    <row r="3" spans="2:9" ht="92.25" customHeight="1" x14ac:dyDescent="0.25">
      <c r="B3" s="429" t="s">
        <v>47</v>
      </c>
      <c r="C3" s="584" t="s">
        <v>243</v>
      </c>
      <c r="D3" s="585"/>
      <c r="E3" s="585"/>
      <c r="F3" s="585" t="str">
        <f>[1]PB!B5</f>
        <v>Decreto de Nomeação do Comitê de Coordenação e respectivo regimento interno, Relatório da Estratégia de Mobilização, Participação Social e Comunicação, prevendo todos os eventos participativos, tendo sido aprovado por deliberação do Comitê de Coordenação, Relatório de Acompanhamento das Atividades, informando qual sistema de informação será adotado na elaboração do PMSB</v>
      </c>
      <c r="G3" s="585"/>
      <c r="H3" s="585"/>
      <c r="I3" s="422" t="s">
        <v>438</v>
      </c>
    </row>
    <row r="4" spans="2:9" ht="51.75" customHeight="1" x14ac:dyDescent="0.25">
      <c r="B4" s="429" t="s">
        <v>48</v>
      </c>
      <c r="C4" s="584" t="s">
        <v>245</v>
      </c>
      <c r="D4" s="585"/>
      <c r="E4" s="585"/>
      <c r="F4" s="585" t="str">
        <f>[1]PC!B5</f>
        <v>Relatório do diagnóstico técnico-participativo e apresentação do Quadro com o Resumo Analítico do Diagnóstico do PMSB, Relatório de Acompanhamento das Atividades.</v>
      </c>
      <c r="G4" s="585"/>
      <c r="H4" s="585"/>
      <c r="I4" s="422" t="s">
        <v>100</v>
      </c>
    </row>
    <row r="5" spans="2:9" ht="69" customHeight="1" x14ac:dyDescent="0.25">
      <c r="B5" s="429" t="s">
        <v>49</v>
      </c>
      <c r="C5" s="584" t="s">
        <v>244</v>
      </c>
      <c r="D5" s="585"/>
      <c r="E5" s="585"/>
      <c r="F5" s="585" t="str">
        <f>[1]PD!B5</f>
        <v>Relatório do Prognóstico do PMSB: cenário de referência para a gestão dos serviços; objetivos e metas; prospectivas técnicas para abastecimento de água, esgotamento sanitário, manejo de águas pluviais e manejo de resíduos sólidos, Relatório de Acompanhamento de Atividades.</v>
      </c>
      <c r="G5" s="585"/>
      <c r="H5" s="585"/>
      <c r="I5" s="422" t="s">
        <v>100</v>
      </c>
    </row>
    <row r="6" spans="2:9" ht="91.5" customHeight="1" x14ac:dyDescent="0.25">
      <c r="B6" s="429" t="s">
        <v>50</v>
      </c>
      <c r="C6" s="584" t="s">
        <v>246</v>
      </c>
      <c r="D6" s="585"/>
      <c r="E6" s="585"/>
      <c r="F6" s="585" t="str">
        <f>[1]PE!B5</f>
        <v xml:space="preserve">Relatório com a proposição dos Programas, Projetos e Ações do PMSB e respectivo Quadro 3 com as Propostas do PMSB, Quadro 4 com o resultado da aplicação da Metodologia para Hierarquização das Propostas do PMSB, Programação de Execução do PMSB com a Apresentação do Quadro 5 e Relatório de Acompanhamento das Atividades. </v>
      </c>
      <c r="G6" s="585"/>
      <c r="H6" s="585"/>
      <c r="I6" s="422" t="s">
        <v>439</v>
      </c>
    </row>
    <row r="7" spans="2:9" ht="72.75" customHeight="1" x14ac:dyDescent="0.25">
      <c r="B7" s="430" t="s">
        <v>51</v>
      </c>
      <c r="C7" s="586" t="s">
        <v>247</v>
      </c>
      <c r="D7" s="587"/>
      <c r="E7" s="587"/>
      <c r="F7" s="587" t="str">
        <f>[1]PF!B5</f>
        <v>Proposta de Indicadores de Desempenho do PMSB e Relatório de Acompanhamento das Atividades.</v>
      </c>
      <c r="G7" s="587"/>
      <c r="H7" s="587"/>
      <c r="I7" s="425" t="s">
        <v>440</v>
      </c>
    </row>
    <row r="8" spans="2:9" ht="147" customHeight="1" x14ac:dyDescent="0.25">
      <c r="B8" s="429" t="s">
        <v>52</v>
      </c>
      <c r="C8" s="584" t="s">
        <v>248</v>
      </c>
      <c r="D8" s="585"/>
      <c r="E8" s="585"/>
      <c r="F8" s="585" t="str">
        <f>[1]PG!B5</f>
        <v>Documento Consolidado do PMSB, com a incorporação das contribuições pactuadas na audiência pública (ou conferencia municipal) e por deliberação do Comitê de Coordenação. Devem ser Disponibilizadas 2 (duas) cópias para o município, sendo uma digital para a publicação na página eletrônica da Prefeitura e outra impressa, e para a Funasa apenas a cópia digital, Minuta do Projeto de Lei para aprovação do PMSB, tendo o documento consolidado do PMSB em anexo, Resumo executivo do PMSB, de acordo com o escopo mínimo estabelecido pelo TR, Relatório de Acompanhamento das Atividades com registro completo da audiência pública realizada para aprovação do PMSB</v>
      </c>
      <c r="G8" s="585"/>
      <c r="H8" s="585"/>
      <c r="I8" s="422" t="s">
        <v>441</v>
      </c>
    </row>
    <row r="9" spans="2:9" ht="46.5" customHeight="1" x14ac:dyDescent="0.25">
      <c r="B9" s="429" t="s">
        <v>53</v>
      </c>
      <c r="C9" s="584" t="s">
        <v>249</v>
      </c>
      <c r="D9" s="585"/>
      <c r="E9" s="585"/>
      <c r="F9" s="588" t="s">
        <v>253</v>
      </c>
      <c r="G9" s="588"/>
      <c r="H9" s="588"/>
      <c r="I9" s="431" t="s">
        <v>442</v>
      </c>
    </row>
    <row r="10" spans="2:9" ht="70.5" customHeight="1" x14ac:dyDescent="0.25">
      <c r="B10" s="429" t="s">
        <v>54</v>
      </c>
      <c r="C10" s="584" t="s">
        <v>250</v>
      </c>
      <c r="D10" s="585"/>
      <c r="E10" s="585"/>
      <c r="F10" s="588" t="s">
        <v>253</v>
      </c>
      <c r="G10" s="588"/>
      <c r="H10" s="588"/>
      <c r="I10" s="431" t="s">
        <v>443</v>
      </c>
    </row>
    <row r="11" spans="2:9" ht="84" customHeight="1" x14ac:dyDescent="0.25">
      <c r="B11" s="429" t="s">
        <v>55</v>
      </c>
      <c r="C11" s="584" t="s">
        <v>251</v>
      </c>
      <c r="D11" s="585"/>
      <c r="E11" s="585"/>
      <c r="F11" s="588" t="s">
        <v>253</v>
      </c>
      <c r="G11" s="588"/>
      <c r="H11" s="588"/>
      <c r="I11" s="422" t="s">
        <v>444</v>
      </c>
    </row>
    <row r="12" spans="2:9" ht="96" customHeight="1" thickBot="1" x14ac:dyDescent="0.3">
      <c r="B12" s="432" t="s">
        <v>56</v>
      </c>
      <c r="C12" s="589" t="s">
        <v>252</v>
      </c>
      <c r="D12" s="590"/>
      <c r="E12" s="590"/>
      <c r="F12" s="591" t="s">
        <v>253</v>
      </c>
      <c r="G12" s="591"/>
      <c r="H12" s="591"/>
      <c r="I12" s="424" t="s">
        <v>445</v>
      </c>
    </row>
    <row r="13" spans="2:9" ht="33.75" customHeight="1" x14ac:dyDescent="0.25"/>
  </sheetData>
  <mergeCells count="24">
    <mergeCell ref="C10:E10"/>
    <mergeCell ref="F10:H10"/>
    <mergeCell ref="C11:E11"/>
    <mergeCell ref="F11:H11"/>
    <mergeCell ref="C12:E12"/>
    <mergeCell ref="F12:H12"/>
    <mergeCell ref="C7:E7"/>
    <mergeCell ref="F7:H7"/>
    <mergeCell ref="C8:E8"/>
    <mergeCell ref="F8:H8"/>
    <mergeCell ref="C9:E9"/>
    <mergeCell ref="F9:H9"/>
    <mergeCell ref="C4:E4"/>
    <mergeCell ref="F4:H4"/>
    <mergeCell ref="C5:E5"/>
    <mergeCell ref="F5:H5"/>
    <mergeCell ref="C6:E6"/>
    <mergeCell ref="F6:H6"/>
    <mergeCell ref="C1:E1"/>
    <mergeCell ref="F1:H1"/>
    <mergeCell ref="C2:E2"/>
    <mergeCell ref="F2:H2"/>
    <mergeCell ref="C3:E3"/>
    <mergeCell ref="F3:H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topLeftCell="A25" zoomScale="60" zoomScaleNormal="85" workbookViewId="0">
      <selection activeCell="I7" sqref="I7"/>
    </sheetView>
  </sheetViews>
  <sheetFormatPr defaultRowHeight="21" x14ac:dyDescent="0.35"/>
  <cols>
    <col min="1" max="1" width="4.42578125" style="433" customWidth="1"/>
    <col min="2" max="2" width="2.28515625" style="433" customWidth="1"/>
    <col min="3" max="3" width="24" style="433" customWidth="1"/>
    <col min="4" max="4" width="46.28515625" style="433" customWidth="1"/>
    <col min="5" max="5" width="74.140625" style="433" customWidth="1"/>
    <col min="6" max="6" width="2.85546875" style="433" customWidth="1"/>
    <col min="7" max="7" width="53" style="433" customWidth="1"/>
    <col min="8" max="8" width="59.42578125" style="433" customWidth="1"/>
    <col min="9" max="11" width="9.140625" style="433"/>
    <col min="12" max="12" width="15.5703125" style="433" bestFit="1" customWidth="1"/>
    <col min="13" max="13" width="9.140625" style="433"/>
    <col min="14" max="14" width="14.5703125" style="433" customWidth="1"/>
    <col min="15" max="15" width="19.5703125" style="433" customWidth="1"/>
    <col min="16" max="16384" width="9.140625" style="433"/>
  </cols>
  <sheetData>
    <row r="1" spans="1:14" ht="40.5" x14ac:dyDescent="0.35">
      <c r="C1" s="434" t="s">
        <v>307</v>
      </c>
      <c r="D1" s="593" t="s">
        <v>281</v>
      </c>
      <c r="E1" s="593"/>
      <c r="F1" s="435"/>
      <c r="G1" s="593" t="s">
        <v>240</v>
      </c>
      <c r="H1" s="593"/>
    </row>
    <row r="2" spans="1:14" x14ac:dyDescent="0.35">
      <c r="C2" s="593" t="s">
        <v>308</v>
      </c>
      <c r="D2" s="594" t="s">
        <v>309</v>
      </c>
      <c r="E2" s="595"/>
      <c r="F2" s="435"/>
      <c r="G2" s="594" t="s">
        <v>309</v>
      </c>
      <c r="H2" s="595"/>
    </row>
    <row r="3" spans="1:14" x14ac:dyDescent="0.35">
      <c r="C3" s="593"/>
      <c r="D3" s="596"/>
      <c r="E3" s="597"/>
      <c r="F3" s="435"/>
      <c r="G3" s="596"/>
      <c r="H3" s="597"/>
    </row>
    <row r="4" spans="1:14" ht="40.5" x14ac:dyDescent="0.35">
      <c r="C4" s="592" t="s">
        <v>46</v>
      </c>
      <c r="D4" s="592" t="s">
        <v>310</v>
      </c>
      <c r="E4" s="436" t="s">
        <v>446</v>
      </c>
      <c r="F4" s="435"/>
      <c r="G4" s="592" t="s">
        <v>46</v>
      </c>
      <c r="H4" s="437" t="s">
        <v>311</v>
      </c>
    </row>
    <row r="5" spans="1:14" ht="60.75" x14ac:dyDescent="0.35">
      <c r="C5" s="592"/>
      <c r="D5" s="592"/>
      <c r="E5" s="436" t="s">
        <v>447</v>
      </c>
      <c r="F5" s="435"/>
      <c r="G5" s="592"/>
      <c r="H5" s="438" t="s">
        <v>312</v>
      </c>
    </row>
    <row r="6" spans="1:14" ht="40.5" x14ac:dyDescent="0.35">
      <c r="C6" s="592"/>
      <c r="D6" s="592"/>
      <c r="E6" s="439" t="s">
        <v>100</v>
      </c>
      <c r="F6" s="435"/>
      <c r="G6" s="592"/>
      <c r="H6" s="437" t="s">
        <v>313</v>
      </c>
    </row>
    <row r="7" spans="1:14" ht="40.5" x14ac:dyDescent="0.35">
      <c r="C7" s="592"/>
      <c r="D7" s="592"/>
      <c r="E7" s="439" t="s">
        <v>100</v>
      </c>
      <c r="F7" s="435"/>
      <c r="G7" s="592"/>
      <c r="H7" s="438" t="s">
        <v>314</v>
      </c>
    </row>
    <row r="8" spans="1:14" ht="40.5" x14ac:dyDescent="0.35">
      <c r="C8" s="592"/>
      <c r="D8" s="592"/>
      <c r="E8" s="439" t="s">
        <v>100</v>
      </c>
      <c r="F8" s="435"/>
      <c r="G8" s="592"/>
      <c r="H8" s="437" t="s">
        <v>315</v>
      </c>
    </row>
    <row r="9" spans="1:14" ht="81" x14ac:dyDescent="0.35">
      <c r="C9" s="598" t="s">
        <v>47</v>
      </c>
      <c r="D9" s="598" t="s">
        <v>316</v>
      </c>
      <c r="E9" s="440" t="s">
        <v>448</v>
      </c>
      <c r="F9" s="435"/>
      <c r="G9" s="598" t="s">
        <v>47</v>
      </c>
      <c r="H9" s="440" t="s">
        <v>317</v>
      </c>
      <c r="L9" s="433">
        <v>77.5</v>
      </c>
      <c r="N9" s="433">
        <f>L9/2</f>
        <v>38.75</v>
      </c>
    </row>
    <row r="10" spans="1:14" ht="101.25" x14ac:dyDescent="0.35">
      <c r="C10" s="598"/>
      <c r="D10" s="598"/>
      <c r="E10" s="440" t="s">
        <v>449</v>
      </c>
      <c r="F10" s="435"/>
      <c r="G10" s="598"/>
      <c r="H10" s="440" t="s">
        <v>318</v>
      </c>
      <c r="L10" s="441">
        <f>0.3875/2</f>
        <v>0.19375000000000001</v>
      </c>
    </row>
    <row r="11" spans="1:14" ht="81" x14ac:dyDescent="0.35">
      <c r="C11" s="598"/>
      <c r="D11" s="598"/>
      <c r="E11" s="442" t="s">
        <v>100</v>
      </c>
      <c r="F11" s="435"/>
      <c r="G11" s="598"/>
      <c r="H11" s="440" t="s">
        <v>319</v>
      </c>
    </row>
    <row r="12" spans="1:14" ht="81" x14ac:dyDescent="0.35">
      <c r="C12" s="592" t="s">
        <v>48</v>
      </c>
      <c r="D12" s="592" t="s">
        <v>320</v>
      </c>
      <c r="E12" s="437" t="s">
        <v>450</v>
      </c>
      <c r="F12" s="435"/>
      <c r="G12" s="592" t="s">
        <v>48</v>
      </c>
      <c r="H12" s="437" t="s">
        <v>321</v>
      </c>
    </row>
    <row r="13" spans="1:14" ht="40.5" x14ac:dyDescent="0.35">
      <c r="A13" s="433">
        <f>235/4</f>
        <v>58.75</v>
      </c>
      <c r="C13" s="592"/>
      <c r="D13" s="592"/>
      <c r="E13" s="437" t="s">
        <v>451</v>
      </c>
      <c r="F13" s="435"/>
      <c r="G13" s="592"/>
      <c r="H13" s="437" t="s">
        <v>315</v>
      </c>
    </row>
    <row r="14" spans="1:14" ht="60.75" x14ac:dyDescent="0.35">
      <c r="C14" s="592"/>
      <c r="D14" s="592"/>
      <c r="E14" s="437" t="s">
        <v>452</v>
      </c>
      <c r="F14" s="435"/>
      <c r="G14" s="592"/>
      <c r="H14" s="439" t="s">
        <v>100</v>
      </c>
    </row>
    <row r="15" spans="1:14" ht="60.75" x14ac:dyDescent="0.35">
      <c r="C15" s="592"/>
      <c r="D15" s="592"/>
      <c r="E15" s="437" t="s">
        <v>453</v>
      </c>
      <c r="F15" s="435"/>
      <c r="G15" s="592"/>
      <c r="H15" s="439" t="s">
        <v>100</v>
      </c>
    </row>
    <row r="16" spans="1:14" ht="121.5" x14ac:dyDescent="0.35">
      <c r="C16" s="599" t="s">
        <v>49</v>
      </c>
      <c r="D16" s="599" t="s">
        <v>322</v>
      </c>
      <c r="E16" s="440" t="s">
        <v>454</v>
      </c>
      <c r="F16" s="435"/>
      <c r="G16" s="599" t="s">
        <v>49</v>
      </c>
      <c r="H16" s="440" t="s">
        <v>323</v>
      </c>
    </row>
    <row r="17" spans="3:8" ht="60.75" x14ac:dyDescent="0.35">
      <c r="C17" s="600"/>
      <c r="D17" s="600"/>
      <c r="E17" s="440" t="s">
        <v>455</v>
      </c>
      <c r="F17" s="435"/>
      <c r="G17" s="600"/>
      <c r="H17" s="440" t="s">
        <v>324</v>
      </c>
    </row>
    <row r="18" spans="3:8" x14ac:dyDescent="0.35">
      <c r="C18" s="600"/>
      <c r="D18" s="600"/>
      <c r="E18" s="440" t="s">
        <v>456</v>
      </c>
      <c r="F18" s="435"/>
      <c r="G18" s="600"/>
      <c r="H18" s="442" t="s">
        <v>100</v>
      </c>
    </row>
    <row r="19" spans="3:8" ht="40.5" x14ac:dyDescent="0.35">
      <c r="C19" s="601"/>
      <c r="D19" s="601"/>
      <c r="E19" s="440" t="s">
        <v>457</v>
      </c>
      <c r="F19" s="435"/>
      <c r="G19" s="601"/>
      <c r="H19" s="442" t="s">
        <v>100</v>
      </c>
    </row>
    <row r="20" spans="3:8" ht="101.25" x14ac:dyDescent="0.35">
      <c r="C20" s="602" t="s">
        <v>50</v>
      </c>
      <c r="D20" s="602" t="s">
        <v>325</v>
      </c>
      <c r="E20" s="437" t="s">
        <v>458</v>
      </c>
      <c r="F20" s="435"/>
      <c r="G20" s="602" t="s">
        <v>50</v>
      </c>
      <c r="H20" s="437" t="s">
        <v>326</v>
      </c>
    </row>
    <row r="21" spans="3:8" ht="60.75" x14ac:dyDescent="0.35">
      <c r="C21" s="603"/>
      <c r="D21" s="603"/>
      <c r="E21" s="437" t="s">
        <v>459</v>
      </c>
      <c r="F21" s="435"/>
      <c r="G21" s="603"/>
      <c r="H21" s="437" t="s">
        <v>327</v>
      </c>
    </row>
    <row r="22" spans="3:8" ht="60.75" x14ac:dyDescent="0.35">
      <c r="C22" s="603"/>
      <c r="D22" s="603"/>
      <c r="E22" s="437" t="s">
        <v>460</v>
      </c>
      <c r="F22" s="435"/>
      <c r="G22" s="603"/>
      <c r="H22" s="437" t="s">
        <v>328</v>
      </c>
    </row>
    <row r="23" spans="3:8" ht="40.5" x14ac:dyDescent="0.35">
      <c r="C23" s="604"/>
      <c r="D23" s="604"/>
      <c r="E23" s="439" t="s">
        <v>100</v>
      </c>
      <c r="F23" s="435"/>
      <c r="G23" s="604"/>
      <c r="H23" s="437" t="s">
        <v>324</v>
      </c>
    </row>
    <row r="24" spans="3:8" ht="101.25" x14ac:dyDescent="0.35">
      <c r="C24" s="599" t="s">
        <v>51</v>
      </c>
      <c r="D24" s="599" t="s">
        <v>329</v>
      </c>
      <c r="E24" s="440" t="s">
        <v>461</v>
      </c>
      <c r="F24" s="435"/>
      <c r="G24" s="599" t="s">
        <v>51</v>
      </c>
      <c r="H24" s="440" t="s">
        <v>330</v>
      </c>
    </row>
    <row r="25" spans="3:8" ht="60.75" x14ac:dyDescent="0.35">
      <c r="C25" s="601"/>
      <c r="D25" s="601"/>
      <c r="E25" s="440" t="s">
        <v>462</v>
      </c>
      <c r="F25" s="435"/>
      <c r="G25" s="601"/>
      <c r="H25" s="440" t="s">
        <v>324</v>
      </c>
    </row>
    <row r="26" spans="3:8" ht="202.5" x14ac:dyDescent="0.35">
      <c r="C26" s="602" t="s">
        <v>52</v>
      </c>
      <c r="D26" s="602" t="s">
        <v>331</v>
      </c>
      <c r="E26" s="437" t="s">
        <v>463</v>
      </c>
      <c r="F26" s="435"/>
      <c r="G26" s="602" t="s">
        <v>52</v>
      </c>
      <c r="H26" s="437" t="s">
        <v>332</v>
      </c>
    </row>
    <row r="27" spans="3:8" x14ac:dyDescent="0.35">
      <c r="C27" s="603"/>
      <c r="D27" s="603"/>
      <c r="E27" s="439" t="s">
        <v>100</v>
      </c>
      <c r="F27" s="435"/>
      <c r="G27" s="603"/>
      <c r="H27" s="605" t="s">
        <v>333</v>
      </c>
    </row>
    <row r="28" spans="3:8" x14ac:dyDescent="0.35">
      <c r="C28" s="603"/>
      <c r="D28" s="603"/>
      <c r="E28" s="439" t="s">
        <v>100</v>
      </c>
      <c r="F28" s="435"/>
      <c r="G28" s="603"/>
      <c r="H28" s="606"/>
    </row>
    <row r="29" spans="3:8" x14ac:dyDescent="0.35">
      <c r="C29" s="603"/>
      <c r="D29" s="603"/>
      <c r="E29" s="439" t="s">
        <v>100</v>
      </c>
      <c r="F29" s="435"/>
      <c r="G29" s="603"/>
      <c r="H29" s="606"/>
    </row>
    <row r="30" spans="3:8" ht="127.5" customHeight="1" x14ac:dyDescent="0.35">
      <c r="C30" s="604"/>
      <c r="D30" s="604"/>
      <c r="E30" s="439" t="s">
        <v>100</v>
      </c>
      <c r="F30" s="435"/>
      <c r="G30" s="604"/>
      <c r="H30" s="607"/>
    </row>
    <row r="31" spans="3:8" ht="81" x14ac:dyDescent="0.35">
      <c r="C31" s="442" t="s">
        <v>53</v>
      </c>
      <c r="D31" s="442" t="s">
        <v>334</v>
      </c>
      <c r="E31" s="440" t="s">
        <v>464</v>
      </c>
      <c r="F31" s="435"/>
      <c r="G31" s="442" t="s">
        <v>53</v>
      </c>
      <c r="H31" s="442" t="s">
        <v>335</v>
      </c>
    </row>
    <row r="32" spans="3:8" ht="40.5" x14ac:dyDescent="0.35">
      <c r="C32" s="439" t="s">
        <v>54</v>
      </c>
      <c r="D32" s="439" t="s">
        <v>149</v>
      </c>
      <c r="E32" s="437" t="s">
        <v>465</v>
      </c>
      <c r="F32" s="435"/>
      <c r="G32" s="439" t="s">
        <v>54</v>
      </c>
      <c r="H32" s="439" t="s">
        <v>335</v>
      </c>
    </row>
    <row r="33" spans="3:8" ht="60.75" x14ac:dyDescent="0.35">
      <c r="C33" s="442" t="s">
        <v>55</v>
      </c>
      <c r="D33" s="442" t="s">
        <v>150</v>
      </c>
      <c r="E33" s="440" t="s">
        <v>150</v>
      </c>
      <c r="F33" s="435"/>
      <c r="G33" s="442" t="s">
        <v>55</v>
      </c>
      <c r="H33" s="442" t="s">
        <v>335</v>
      </c>
    </row>
    <row r="34" spans="3:8" ht="60.75" x14ac:dyDescent="0.35">
      <c r="C34" s="439" t="s">
        <v>56</v>
      </c>
      <c r="D34" s="439" t="s">
        <v>151</v>
      </c>
      <c r="E34" s="437" t="s">
        <v>466</v>
      </c>
      <c r="F34" s="435"/>
      <c r="G34" s="439" t="s">
        <v>56</v>
      </c>
      <c r="H34" s="439" t="s">
        <v>335</v>
      </c>
    </row>
  </sheetData>
  <mergeCells count="27">
    <mergeCell ref="H27:H30"/>
    <mergeCell ref="C24:C25"/>
    <mergeCell ref="D24:D25"/>
    <mergeCell ref="G24:G25"/>
    <mergeCell ref="C26:C30"/>
    <mergeCell ref="D26:D30"/>
    <mergeCell ref="G26:G30"/>
    <mergeCell ref="C16:C19"/>
    <mergeCell ref="D16:D19"/>
    <mergeCell ref="G16:G19"/>
    <mergeCell ref="C20:C23"/>
    <mergeCell ref="D20:D23"/>
    <mergeCell ref="G20:G23"/>
    <mergeCell ref="C9:C11"/>
    <mergeCell ref="D9:D11"/>
    <mergeCell ref="G9:G11"/>
    <mergeCell ref="C12:C15"/>
    <mergeCell ref="D12:D15"/>
    <mergeCell ref="G12:G15"/>
    <mergeCell ref="C4:C8"/>
    <mergeCell ref="D4:D8"/>
    <mergeCell ref="G4:G8"/>
    <mergeCell ref="D1:E1"/>
    <mergeCell ref="G1:H1"/>
    <mergeCell ref="C2:C3"/>
    <mergeCell ref="D2:E3"/>
    <mergeCell ref="G2:H3"/>
  </mergeCells>
  <pageMargins left="0.511811024" right="0.511811024" top="0.78740157499999996" bottom="0.78740157499999996" header="0.31496062000000002" footer="0.31496062000000002"/>
  <pageSetup paperSize="9" scale="3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5" zoomScaleNormal="85" workbookViewId="0">
      <selection activeCell="F3" sqref="F2:H3"/>
    </sheetView>
  </sheetViews>
  <sheetFormatPr defaultRowHeight="15" x14ac:dyDescent="0.25"/>
  <cols>
    <col min="1" max="1" width="11.42578125" customWidth="1"/>
    <col min="2" max="2" width="17.85546875" customWidth="1"/>
    <col min="3" max="3" width="14.140625" customWidth="1"/>
    <col min="4" max="4" width="13" customWidth="1"/>
    <col min="5" max="5" width="14.42578125" customWidth="1"/>
    <col min="6" max="6" width="14.28515625" customWidth="1"/>
    <col min="7" max="7" width="14.42578125" customWidth="1"/>
    <col min="8" max="8" width="63.42578125" customWidth="1"/>
    <col min="9" max="9" width="21.7109375" customWidth="1"/>
    <col min="10" max="10" width="23.5703125" customWidth="1"/>
  </cols>
  <sheetData>
    <row r="1" spans="1:11" ht="51" customHeight="1" thickBot="1" x14ac:dyDescent="0.3">
      <c r="B1" s="180" t="s">
        <v>239</v>
      </c>
      <c r="C1" s="610" t="s">
        <v>281</v>
      </c>
      <c r="D1" s="611"/>
      <c r="E1" s="612"/>
      <c r="F1" s="610" t="s">
        <v>240</v>
      </c>
      <c r="G1" s="611"/>
      <c r="H1" s="612"/>
      <c r="I1" s="180" t="s">
        <v>241</v>
      </c>
      <c r="J1" s="180" t="s">
        <v>254</v>
      </c>
      <c r="K1" s="68"/>
    </row>
    <row r="2" spans="1:11" ht="58.5" customHeight="1" x14ac:dyDescent="0.25">
      <c r="B2" s="181" t="s">
        <v>46</v>
      </c>
      <c r="C2" s="582" t="s">
        <v>242</v>
      </c>
      <c r="D2" s="583"/>
      <c r="E2" s="583"/>
      <c r="F2" s="583" t="str">
        <f>PA!B5</f>
        <v>Portaria de nomeação do Comitê Executivo, Mapeamento dos atores locais, Proposta de Composição do Comitê de Coordenação, Proposta com a definição dos Setores de Mobilização (SM) e Relatório de Acompanhamento das Atividades.</v>
      </c>
      <c r="G2" s="583"/>
      <c r="H2" s="583"/>
      <c r="I2" s="182"/>
      <c r="J2" s="183"/>
    </row>
    <row r="3" spans="1:11" ht="92.25" customHeight="1" x14ac:dyDescent="0.25">
      <c r="B3" s="184" t="s">
        <v>47</v>
      </c>
      <c r="C3" s="584" t="s">
        <v>243</v>
      </c>
      <c r="D3" s="585"/>
      <c r="E3" s="585"/>
      <c r="F3" s="585" t="str">
        <f>PB!B5</f>
        <v>Decreto de Nomeação do Comitê de Coordenação e respectivo regimento interno, Relatório da Estratégia de Mobilização, Participação Social e Comunicação, prevendo todos os eventos participativos, tendo sido aprovado por deliberação do Comitê de Coordenação, Relatório de Acompanhamento das Atividades, informando qual sistema de informação será adotado na elaboração do PMSB</v>
      </c>
      <c r="G3" s="585"/>
      <c r="H3" s="585"/>
      <c r="I3" s="155"/>
      <c r="J3" s="185"/>
    </row>
    <row r="4" spans="1:11" ht="51.75" customHeight="1" x14ac:dyDescent="0.25">
      <c r="B4" s="184" t="s">
        <v>48</v>
      </c>
      <c r="C4" s="584" t="s">
        <v>245</v>
      </c>
      <c r="D4" s="585"/>
      <c r="E4" s="585"/>
      <c r="F4" s="585" t="str">
        <f>PC!B5</f>
        <v>Relatório do diagnóstico técnico-participativo e apresentação do Quadro com o Resumo Analítico do Diagnóstico do PMSB, Relatório de Acompanhamento das Atividades.</v>
      </c>
      <c r="G4" s="585"/>
      <c r="H4" s="585"/>
      <c r="I4" s="155"/>
      <c r="J4" s="185"/>
    </row>
    <row r="5" spans="1:11" ht="69" customHeight="1" x14ac:dyDescent="0.25">
      <c r="B5" s="184" t="s">
        <v>49</v>
      </c>
      <c r="C5" s="584" t="s">
        <v>244</v>
      </c>
      <c r="D5" s="585"/>
      <c r="E5" s="585"/>
      <c r="F5" s="585" t="str">
        <f>PD!B5</f>
        <v>Relatório do Prognóstico do PMSB: cenário de referência para a gestão dos serviços; objetivos e metas; prospectivas técnicas para abastecimento de água, esgotamento sanitário, manejo de águas pluviais e manejo de resíduos sólidos, Relatório de Acompanhamento de Atividades.</v>
      </c>
      <c r="G5" s="585"/>
      <c r="H5" s="585"/>
      <c r="I5" s="155"/>
      <c r="J5" s="185"/>
    </row>
    <row r="6" spans="1:11" ht="91.5" customHeight="1" x14ac:dyDescent="0.25">
      <c r="B6" s="184" t="s">
        <v>50</v>
      </c>
      <c r="C6" s="584" t="s">
        <v>246</v>
      </c>
      <c r="D6" s="585"/>
      <c r="E6" s="585"/>
      <c r="F6" s="585" t="str">
        <f>PE!B5</f>
        <v xml:space="preserve">Relatório com a proposição dos Programas, Projetos e Ações do PMSB e respectivo Quadro 3 com as Propostas do PMSB, Quadro 4 com o resultado da aplicação da Metodologia para Hierarquização das Propostas do PMSB, Programação de Execução do PMSB com a Apresentação do Quadro 5 e Relatório de Acompanhamento das Atividades. </v>
      </c>
      <c r="G6" s="585"/>
      <c r="H6" s="585"/>
      <c r="I6" s="155"/>
      <c r="J6" s="185"/>
    </row>
    <row r="7" spans="1:11" ht="48" customHeight="1" x14ac:dyDescent="0.25">
      <c r="B7" s="186" t="s">
        <v>51</v>
      </c>
      <c r="C7" s="586" t="s">
        <v>247</v>
      </c>
      <c r="D7" s="587"/>
      <c r="E7" s="587"/>
      <c r="F7" s="587" t="str">
        <f>PF!B5</f>
        <v>Proposta de Indicadores de Desempenho do PMSB e Relatório de Acompanhamento das Atividades.</v>
      </c>
      <c r="G7" s="587"/>
      <c r="H7" s="587"/>
      <c r="I7" s="187"/>
      <c r="J7" s="188"/>
    </row>
    <row r="8" spans="1:11" ht="132.75" customHeight="1" x14ac:dyDescent="0.25">
      <c r="B8" s="184" t="s">
        <v>52</v>
      </c>
      <c r="C8" s="584" t="s">
        <v>248</v>
      </c>
      <c r="D8" s="585"/>
      <c r="E8" s="585"/>
      <c r="F8" s="585" t="str">
        <f>PG!B5</f>
        <v>Documento Consolidado do PMSB, com a incorporação das contribuições pactuadas na audiência pública (ou conferencia municipal) e por deliberação do Comitê de Coordenação. Devem ser Disponibilizadas 2 (duas) cópias para o município, sendo uma digital para a publicação na página eletrônica da Prefeitura e outra impressa, e para a Funasa apenas a cópia digital, Minuta do Projeto de Lei para aprovação do PMSB, tendo o documento consolidado do PMSB em anexo, Resumo executivo do PMSB, de acordo com o escopo mínimo estabelecido pelo TR, Relatório de Acompanhamento das Atividades com registro completo da audiência pública realizada para aprovação do PMSB.</v>
      </c>
      <c r="G8" s="585"/>
      <c r="H8" s="585"/>
      <c r="I8" s="189"/>
      <c r="J8" s="185"/>
    </row>
    <row r="9" spans="1:11" ht="46.5" customHeight="1" x14ac:dyDescent="0.25">
      <c r="A9" s="68"/>
      <c r="B9" s="184" t="s">
        <v>53</v>
      </c>
      <c r="C9" s="584" t="s">
        <v>249</v>
      </c>
      <c r="D9" s="585"/>
      <c r="E9" s="585"/>
      <c r="F9" s="609" t="s">
        <v>253</v>
      </c>
      <c r="G9" s="609"/>
      <c r="H9" s="609"/>
      <c r="I9" s="190" t="s">
        <v>259</v>
      </c>
      <c r="J9" s="191" t="s">
        <v>269</v>
      </c>
    </row>
    <row r="10" spans="1:11" ht="54" customHeight="1" x14ac:dyDescent="0.25">
      <c r="A10" s="68"/>
      <c r="B10" s="184" t="s">
        <v>54</v>
      </c>
      <c r="C10" s="584" t="s">
        <v>250</v>
      </c>
      <c r="D10" s="585"/>
      <c r="E10" s="585"/>
      <c r="F10" s="609" t="s">
        <v>253</v>
      </c>
      <c r="G10" s="609"/>
      <c r="H10" s="609"/>
      <c r="I10" s="190" t="s">
        <v>255</v>
      </c>
      <c r="J10" s="191" t="s">
        <v>258</v>
      </c>
    </row>
    <row r="11" spans="1:11" ht="72.75" customHeight="1" x14ac:dyDescent="0.25">
      <c r="A11" s="68"/>
      <c r="B11" s="184" t="s">
        <v>55</v>
      </c>
      <c r="C11" s="584" t="s">
        <v>251</v>
      </c>
      <c r="D11" s="585"/>
      <c r="E11" s="585"/>
      <c r="F11" s="609" t="s">
        <v>253</v>
      </c>
      <c r="G11" s="609"/>
      <c r="H11" s="609"/>
      <c r="I11" s="192" t="s">
        <v>257</v>
      </c>
      <c r="J11" s="191" t="s">
        <v>256</v>
      </c>
    </row>
    <row r="12" spans="1:11" ht="75.75" customHeight="1" thickBot="1" x14ac:dyDescent="0.3">
      <c r="B12" s="193" t="s">
        <v>56</v>
      </c>
      <c r="C12" s="589" t="s">
        <v>252</v>
      </c>
      <c r="D12" s="590"/>
      <c r="E12" s="590"/>
      <c r="F12" s="608" t="s">
        <v>253</v>
      </c>
      <c r="G12" s="608"/>
      <c r="H12" s="608"/>
      <c r="I12" s="194" t="s">
        <v>261</v>
      </c>
      <c r="J12" s="195"/>
    </row>
    <row r="13" spans="1:11" ht="33.75" customHeight="1" x14ac:dyDescent="0.25"/>
  </sheetData>
  <mergeCells count="24">
    <mergeCell ref="C11:E11"/>
    <mergeCell ref="C1:E1"/>
    <mergeCell ref="F1:H1"/>
    <mergeCell ref="C2:E2"/>
    <mergeCell ref="C3:E3"/>
    <mergeCell ref="C4:E4"/>
    <mergeCell ref="C5:E5"/>
    <mergeCell ref="F11:H11"/>
    <mergeCell ref="F12:H12"/>
    <mergeCell ref="C12:E12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C6:E6"/>
    <mergeCell ref="C7:E7"/>
    <mergeCell ref="C8:E8"/>
    <mergeCell ref="C9:E9"/>
    <mergeCell ref="C10:E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view="pageBreakPreview" topLeftCell="A7" zoomScale="70" zoomScaleNormal="70" zoomScaleSheetLayoutView="70" workbookViewId="0">
      <selection activeCell="H22" sqref="H22"/>
    </sheetView>
  </sheetViews>
  <sheetFormatPr defaultRowHeight="16.5" x14ac:dyDescent="0.3"/>
  <cols>
    <col min="1" max="1" width="8.7109375" style="6" customWidth="1"/>
    <col min="2" max="2" width="6.7109375" style="5" customWidth="1"/>
    <col min="3" max="3" width="130" style="6" customWidth="1"/>
    <col min="4" max="4" width="25.7109375" style="6" customWidth="1"/>
    <col min="5" max="5" width="18.42578125" style="5" customWidth="1"/>
    <col min="6" max="6" width="26.7109375" style="6" customWidth="1"/>
    <col min="7" max="7" width="18.5703125" style="6" customWidth="1"/>
    <col min="8" max="8" width="30.7109375" style="6" customWidth="1"/>
    <col min="9" max="9" width="30.7109375" customWidth="1"/>
    <col min="10" max="10" width="8.7109375" customWidth="1"/>
    <col min="11" max="11" width="12.28515625" style="6" bestFit="1" customWidth="1"/>
    <col min="12" max="16384" width="9.140625" style="6"/>
  </cols>
  <sheetData>
    <row r="1" spans="2:12" ht="16.5" customHeight="1" x14ac:dyDescent="0.3">
      <c r="I1" s="68"/>
      <c r="J1" s="68"/>
    </row>
    <row r="2" spans="2:12" ht="48" customHeight="1" x14ac:dyDescent="0.3">
      <c r="B2" s="484" t="str">
        <f>CONCATENATE("Custos Mensais com Equipe Técnica Permanente - Município de ",'Dados Gerais do Município'!D8)</f>
        <v>Custos Mensais com Equipe Técnica Permanente - Município de Exemplo</v>
      </c>
      <c r="C2" s="485"/>
      <c r="D2" s="485"/>
      <c r="E2" s="485"/>
      <c r="F2" s="485"/>
      <c r="G2" s="485"/>
      <c r="H2" s="485"/>
      <c r="I2" s="486"/>
    </row>
    <row r="3" spans="2:12" ht="42" customHeight="1" x14ac:dyDescent="0.3">
      <c r="B3" s="478" t="s">
        <v>420</v>
      </c>
      <c r="C3" s="479"/>
      <c r="D3" s="479"/>
      <c r="E3" s="479"/>
      <c r="F3" s="479"/>
      <c r="G3" s="479"/>
      <c r="H3" s="479"/>
      <c r="I3" s="480"/>
    </row>
    <row r="4" spans="2:12" ht="42" customHeight="1" x14ac:dyDescent="0.3">
      <c r="B4" s="478" t="s">
        <v>421</v>
      </c>
      <c r="C4" s="479"/>
      <c r="D4" s="479"/>
      <c r="E4" s="479"/>
      <c r="F4" s="479"/>
      <c r="G4" s="479"/>
      <c r="H4" s="479"/>
      <c r="I4" s="480"/>
      <c r="J4" s="68"/>
    </row>
    <row r="5" spans="2:12" ht="50.25" customHeight="1" x14ac:dyDescent="0.3">
      <c r="B5" s="481" t="s">
        <v>422</v>
      </c>
      <c r="C5" s="482"/>
      <c r="D5" s="482"/>
      <c r="E5" s="482"/>
      <c r="F5" s="482"/>
      <c r="G5" s="482"/>
      <c r="H5" s="482"/>
      <c r="I5" s="483"/>
    </row>
    <row r="6" spans="2:12" ht="16.5" customHeight="1" x14ac:dyDescent="0.3">
      <c r="C6" s="7"/>
      <c r="D6" s="7"/>
      <c r="I6" s="6"/>
    </row>
    <row r="7" spans="2:12" s="9" customFormat="1" ht="31.5" x14ac:dyDescent="0.25">
      <c r="B7" s="272">
        <v>1</v>
      </c>
      <c r="C7" s="273" t="s">
        <v>164</v>
      </c>
      <c r="D7" s="273" t="s">
        <v>165</v>
      </c>
      <c r="E7" s="273" t="s">
        <v>75</v>
      </c>
      <c r="F7" s="487" t="s">
        <v>162</v>
      </c>
      <c r="G7" s="487"/>
      <c r="H7" s="273" t="s">
        <v>279</v>
      </c>
      <c r="I7" s="274" t="s">
        <v>209</v>
      </c>
      <c r="K7" s="278">
        <v>10</v>
      </c>
    </row>
    <row r="8" spans="2:12" s="10" customFormat="1" ht="42" customHeight="1" x14ac:dyDescent="0.25">
      <c r="B8" s="277" t="s">
        <v>9</v>
      </c>
      <c r="C8" s="97" t="s">
        <v>232</v>
      </c>
      <c r="D8" s="98">
        <v>1</v>
      </c>
      <c r="E8" s="96"/>
      <c r="F8" s="99" t="s">
        <v>282</v>
      </c>
      <c r="G8" s="100"/>
      <c r="H8" s="243">
        <f>IF(ISERR(FIND("Estagi",C8))=TRUE,D8*G8*(1+'Encargos sociais'!$F$59),D8*G8*(1+'Encargos sociais'!$E$59))</f>
        <v>0</v>
      </c>
      <c r="I8" s="276">
        <f>IF(ISERR(FIND("Estagi",C8))=TRUE,D8*G8*(1+'Encargos sociais'!$L$59),D8*G8*(1+'Encargos sociais'!$K$59))</f>
        <v>0</v>
      </c>
      <c r="K8" s="279">
        <v>20</v>
      </c>
    </row>
    <row r="9" spans="2:12" s="10" customFormat="1" ht="42" customHeight="1" x14ac:dyDescent="0.25">
      <c r="B9" s="277" t="s">
        <v>10</v>
      </c>
      <c r="C9" s="101" t="s">
        <v>233</v>
      </c>
      <c r="D9" s="98">
        <v>1</v>
      </c>
      <c r="E9" s="96"/>
      <c r="F9" s="99" t="s">
        <v>283</v>
      </c>
      <c r="G9" s="100"/>
      <c r="H9" s="243">
        <f>IF(ISERR(FIND("Estagi",C9))=TRUE,D9*G9*(1+'Encargos sociais'!$F$59),D9*G9*(1+'Encargos sociais'!$E$59))</f>
        <v>0</v>
      </c>
      <c r="I9" s="276">
        <f>IF(ISERR(FIND("Estagi",C9))=TRUE,D9*G9*(1+'Encargos sociais'!$L$59),D9*G9*(1+'Encargos sociais'!$K$59))</f>
        <v>0</v>
      </c>
      <c r="K9" s="279">
        <v>30</v>
      </c>
    </row>
    <row r="10" spans="2:12" s="10" customFormat="1" ht="34.5" customHeight="1" x14ac:dyDescent="0.25">
      <c r="B10" s="277" t="s">
        <v>0</v>
      </c>
      <c r="C10" s="101" t="s">
        <v>234</v>
      </c>
      <c r="D10" s="98">
        <v>1</v>
      </c>
      <c r="E10" s="96"/>
      <c r="F10" s="99" t="s">
        <v>284</v>
      </c>
      <c r="G10" s="100"/>
      <c r="H10" s="243">
        <f>IF(ISERR(FIND("Estagi",C10))=TRUE,D10*G10*(1+'Encargos sociais'!$F$59),D10*G10*(1+'Encargos sociais'!$E$59))</f>
        <v>0</v>
      </c>
      <c r="I10" s="276">
        <f>IF(ISERR(FIND("Estagi",C10))=TRUE,D10*G10*(1+'Encargos sociais'!$L$59),D10*G10*(1+'Encargos sociais'!$K$59))</f>
        <v>0</v>
      </c>
      <c r="K10" s="279">
        <v>40</v>
      </c>
    </row>
    <row r="11" spans="2:12" s="10" customFormat="1" ht="36" customHeight="1" x14ac:dyDescent="0.25">
      <c r="B11" s="488" t="s">
        <v>167</v>
      </c>
      <c r="C11" s="489"/>
      <c r="D11" s="489"/>
      <c r="E11" s="489"/>
      <c r="F11" s="489"/>
      <c r="G11" s="489"/>
      <c r="H11" s="270">
        <f>SUM(H8:H10)</f>
        <v>0</v>
      </c>
      <c r="I11" s="271">
        <f>SUM(I8:I10)</f>
        <v>0</v>
      </c>
      <c r="K11" s="279">
        <v>48</v>
      </c>
    </row>
    <row r="12" spans="2:12" s="10" customFormat="1" ht="16.5" customHeight="1" x14ac:dyDescent="0.25">
      <c r="B12" s="102"/>
      <c r="C12" s="102"/>
      <c r="D12" s="102"/>
      <c r="E12" s="102"/>
      <c r="F12" s="102"/>
      <c r="G12" s="102"/>
      <c r="H12" s="102"/>
      <c r="I12" s="102"/>
      <c r="J12" s="75"/>
    </row>
    <row r="13" spans="2:12" s="9" customFormat="1" ht="47.25" x14ac:dyDescent="0.25">
      <c r="B13" s="272">
        <v>2</v>
      </c>
      <c r="C13" s="273" t="s">
        <v>166</v>
      </c>
      <c r="D13" s="273" t="s">
        <v>161</v>
      </c>
      <c r="E13" s="273" t="s">
        <v>75</v>
      </c>
      <c r="F13" s="487" t="s">
        <v>162</v>
      </c>
      <c r="G13" s="487"/>
      <c r="H13" s="273" t="s">
        <v>208</v>
      </c>
      <c r="I13" s="274" t="s">
        <v>209</v>
      </c>
    </row>
    <row r="14" spans="2:12" s="8" customFormat="1" ht="45" customHeight="1" x14ac:dyDescent="0.25">
      <c r="B14" s="275" t="s">
        <v>8</v>
      </c>
      <c r="C14" s="104" t="s">
        <v>235</v>
      </c>
      <c r="D14" s="105">
        <v>1</v>
      </c>
      <c r="E14" s="140"/>
      <c r="F14" s="106" t="s">
        <v>285</v>
      </c>
      <c r="G14" s="107"/>
      <c r="H14" s="243">
        <f>IF(ISERR(FIND("Estagi",C14))=TRUE,D14*G14*(1+'Encargos sociais'!$F$59),D14*G14*(1+'Encargos sociais'!$E$59))</f>
        <v>0</v>
      </c>
      <c r="I14" s="276">
        <f>IF(ISERR(FIND("Estagi",C14))=TRUE,D14*G14*(1+'Encargos sociais'!$L$59),D14*G14*(1+'Encargos sociais'!$K$59))</f>
        <v>0</v>
      </c>
    </row>
    <row r="15" spans="2:12" s="8" customFormat="1" ht="40.5" customHeight="1" x14ac:dyDescent="0.25">
      <c r="B15" s="275" t="s">
        <v>13</v>
      </c>
      <c r="C15" s="108" t="s">
        <v>236</v>
      </c>
      <c r="D15" s="109">
        <v>1</v>
      </c>
      <c r="E15" s="140"/>
      <c r="F15" s="106" t="s">
        <v>286</v>
      </c>
      <c r="G15" s="107"/>
      <c r="H15" s="243">
        <f>IF(ISERR(FIND("Estagi",C15))=TRUE,D15*G15*(1+'Encargos sociais'!$F$59),D15*G15*(1+'Encargos sociais'!$E$59))</f>
        <v>0</v>
      </c>
      <c r="I15" s="276">
        <f>IF(ISERR(FIND("Estagi",C15))=TRUE,D15*G15*(1+'Encargos sociais'!$L$59),D15*G15*(1+'Encargos sociais'!$K$59))</f>
        <v>0</v>
      </c>
      <c r="L15" s="76"/>
    </row>
    <row r="16" spans="2:12" s="8" customFormat="1" ht="50.25" customHeight="1" x14ac:dyDescent="0.25">
      <c r="B16" s="275" t="s">
        <v>14</v>
      </c>
      <c r="C16" s="108" t="s">
        <v>237</v>
      </c>
      <c r="D16" s="109">
        <v>1</v>
      </c>
      <c r="E16" s="140"/>
      <c r="F16" s="106" t="s">
        <v>287</v>
      </c>
      <c r="G16" s="107"/>
      <c r="H16" s="243">
        <f>IF(ISERR(FIND("Estagi",C16))=TRUE,D16*G16*(1+'Encargos sociais'!$F$59),D16*G16*(1+'Encargos sociais'!$E$59))</f>
        <v>0</v>
      </c>
      <c r="I16" s="276">
        <f>IF(ISERR(FIND("Estagi",C16))=TRUE,D16*G16*(1+'Encargos sociais'!$L$59),D16*G16*(1+'Encargos sociais'!$K$59))</f>
        <v>0</v>
      </c>
    </row>
    <row r="17" spans="2:11" s="8" customFormat="1" ht="45" customHeight="1" x14ac:dyDescent="0.25">
      <c r="B17" s="275" t="s">
        <v>15</v>
      </c>
      <c r="C17" s="108" t="s">
        <v>131</v>
      </c>
      <c r="D17" s="109">
        <v>1</v>
      </c>
      <c r="E17" s="140"/>
      <c r="F17" s="106" t="s">
        <v>288</v>
      </c>
      <c r="G17" s="107"/>
      <c r="H17" s="243">
        <f>IF(ISERR(FIND("Estagi",C17))=TRUE,D17*G17*(1+'Encargos sociais'!$F$59),D17*G17*(1+'Encargos sociais'!$E$59))</f>
        <v>0</v>
      </c>
      <c r="I17" s="276">
        <f>IF(ISERR(FIND("Estagi",C17))=TRUE,D17*G17*(1+'Encargos sociais'!$L$59),D17*G17*(1+'Encargos sociais'!$K$59))</f>
        <v>0</v>
      </c>
    </row>
    <row r="18" spans="2:11" s="8" customFormat="1" ht="37.5" customHeight="1" x14ac:dyDescent="0.25">
      <c r="B18" s="490" t="s">
        <v>168</v>
      </c>
      <c r="C18" s="491"/>
      <c r="D18" s="491"/>
      <c r="E18" s="491"/>
      <c r="F18" s="491"/>
      <c r="G18" s="491"/>
      <c r="H18" s="270">
        <f>SUM(H14:H17)</f>
        <v>0</v>
      </c>
      <c r="I18" s="271">
        <f>SUM(I14:I17)</f>
        <v>0</v>
      </c>
      <c r="K18" s="61"/>
    </row>
    <row r="19" spans="2:11" ht="16.5" customHeight="1" x14ac:dyDescent="0.3">
      <c r="B19" s="92"/>
      <c r="C19" s="91"/>
      <c r="D19" s="91"/>
      <c r="E19" s="92"/>
      <c r="F19" s="91"/>
      <c r="G19" s="91"/>
      <c r="H19" s="91"/>
      <c r="I19" s="93"/>
    </row>
    <row r="20" spans="2:11" ht="27" customHeight="1" x14ac:dyDescent="0.3">
      <c r="B20" s="474" t="s">
        <v>163</v>
      </c>
      <c r="C20" s="475"/>
      <c r="D20" s="475"/>
      <c r="E20" s="475"/>
      <c r="F20" s="475"/>
      <c r="G20" s="475"/>
      <c r="H20" s="268" t="s">
        <v>280</v>
      </c>
      <c r="I20" s="269" t="s">
        <v>210</v>
      </c>
      <c r="J20" s="68"/>
    </row>
    <row r="21" spans="2:11" ht="38.25" customHeight="1" x14ac:dyDescent="0.3">
      <c r="B21" s="476"/>
      <c r="C21" s="477"/>
      <c r="D21" s="477"/>
      <c r="E21" s="477"/>
      <c r="F21" s="477"/>
      <c r="G21" s="477"/>
      <c r="H21" s="270">
        <f>SUM(H11,H18)</f>
        <v>0</v>
      </c>
      <c r="I21" s="271">
        <f>I18+I11</f>
        <v>0</v>
      </c>
      <c r="J21" s="62"/>
    </row>
    <row r="22" spans="2:11" ht="16.5" customHeight="1" x14ac:dyDescent="0.3">
      <c r="H22" s="90"/>
    </row>
    <row r="30" spans="2:11" x14ac:dyDescent="0.3">
      <c r="D30" s="6" t="str">
        <f>IF(E30="DNIT",'Equipe Técnica Permanente'!I21,"")</f>
        <v/>
      </c>
    </row>
  </sheetData>
  <mergeCells count="9">
    <mergeCell ref="B20:G21"/>
    <mergeCell ref="B3:I3"/>
    <mergeCell ref="B4:I4"/>
    <mergeCell ref="B5:I5"/>
    <mergeCell ref="B2:I2"/>
    <mergeCell ref="F7:G7"/>
    <mergeCell ref="F13:G13"/>
    <mergeCell ref="B11:G11"/>
    <mergeCell ref="B18:G18"/>
  </mergeCells>
  <dataValidations count="2">
    <dataValidation type="list" allowBlank="1" showInputMessage="1" showErrorMessage="1" sqref="N14">
      <formula1>$L$14:$L$17</formula1>
    </dataValidation>
    <dataValidation type="list" allowBlank="1" showInputMessage="1" showErrorMessage="1" sqref="E8:E10 E14:E17">
      <formula1>$K$7:$K$11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44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85" zoomScaleNormal="85" workbookViewId="0">
      <selection activeCell="F3" sqref="F2:H3"/>
    </sheetView>
  </sheetViews>
  <sheetFormatPr defaultRowHeight="15" x14ac:dyDescent="0.25"/>
  <cols>
    <col min="1" max="1" width="4.42578125" style="68" customWidth="1"/>
    <col min="2" max="2" width="2.28515625" style="68" customWidth="1"/>
    <col min="3" max="3" width="14.7109375" style="68" customWidth="1"/>
    <col min="4" max="4" width="46.28515625" style="68" customWidth="1"/>
    <col min="5" max="5" width="74.140625" style="68" customWidth="1"/>
    <col min="6" max="6" width="2.85546875" style="68" customWidth="1"/>
    <col min="7" max="7" width="53" style="68" customWidth="1"/>
    <col min="8" max="8" width="52.28515625" style="68" customWidth="1"/>
    <col min="9" max="16384" width="9.140625" style="68"/>
  </cols>
  <sheetData>
    <row r="1" spans="1:8" ht="31.5" x14ac:dyDescent="0.25">
      <c r="C1" s="196" t="s">
        <v>307</v>
      </c>
      <c r="D1" s="622" t="s">
        <v>281</v>
      </c>
      <c r="E1" s="622"/>
      <c r="F1" s="93"/>
      <c r="G1" s="622" t="s">
        <v>240</v>
      </c>
      <c r="H1" s="622"/>
    </row>
    <row r="2" spans="1:8" ht="15.75" x14ac:dyDescent="0.25">
      <c r="C2" s="622" t="s">
        <v>308</v>
      </c>
      <c r="D2" s="623" t="s">
        <v>309</v>
      </c>
      <c r="E2" s="624"/>
      <c r="F2" s="93"/>
      <c r="G2" s="623" t="s">
        <v>309</v>
      </c>
      <c r="H2" s="624"/>
    </row>
    <row r="3" spans="1:8" ht="15.75" x14ac:dyDescent="0.25">
      <c r="C3" s="622"/>
      <c r="D3" s="625"/>
      <c r="E3" s="626"/>
      <c r="F3" s="93"/>
      <c r="G3" s="625"/>
      <c r="H3" s="626"/>
    </row>
    <row r="4" spans="1:8" ht="15.75" x14ac:dyDescent="0.25">
      <c r="C4" s="585" t="s">
        <v>46</v>
      </c>
      <c r="D4" s="585" t="s">
        <v>310</v>
      </c>
      <c r="E4" s="197" t="s">
        <v>339</v>
      </c>
      <c r="F4" s="93"/>
      <c r="G4" s="585" t="s">
        <v>46</v>
      </c>
      <c r="H4" s="198" t="s">
        <v>311</v>
      </c>
    </row>
    <row r="5" spans="1:8" ht="30" x14ac:dyDescent="0.25">
      <c r="C5" s="585"/>
      <c r="D5" s="585"/>
      <c r="E5" s="197" t="s">
        <v>340</v>
      </c>
      <c r="F5" s="93"/>
      <c r="G5" s="585"/>
      <c r="H5" s="199" t="s">
        <v>312</v>
      </c>
    </row>
    <row r="6" spans="1:8" ht="30" x14ac:dyDescent="0.25">
      <c r="C6" s="585"/>
      <c r="D6" s="585"/>
      <c r="E6" s="192" t="s">
        <v>100</v>
      </c>
      <c r="F6" s="93"/>
      <c r="G6" s="585"/>
      <c r="H6" s="198" t="s">
        <v>313</v>
      </c>
    </row>
    <row r="7" spans="1:8" ht="30" x14ac:dyDescent="0.25">
      <c r="C7" s="585"/>
      <c r="D7" s="585"/>
      <c r="E7" s="192" t="s">
        <v>100</v>
      </c>
      <c r="F7" s="93"/>
      <c r="G7" s="585"/>
      <c r="H7" s="199" t="s">
        <v>314</v>
      </c>
    </row>
    <row r="8" spans="1:8" ht="33.75" customHeight="1" x14ac:dyDescent="0.25">
      <c r="C8" s="585"/>
      <c r="D8" s="585"/>
      <c r="E8" s="192" t="s">
        <v>100</v>
      </c>
      <c r="F8" s="93"/>
      <c r="G8" s="585"/>
      <c r="H8" s="198" t="s">
        <v>315</v>
      </c>
    </row>
    <row r="9" spans="1:8" ht="45" x14ac:dyDescent="0.25">
      <c r="C9" s="621" t="s">
        <v>47</v>
      </c>
      <c r="D9" s="621" t="s">
        <v>316</v>
      </c>
      <c r="E9" s="200" t="s">
        <v>341</v>
      </c>
      <c r="F9" s="93"/>
      <c r="G9" s="621" t="s">
        <v>47</v>
      </c>
      <c r="H9" s="200" t="s">
        <v>317</v>
      </c>
    </row>
    <row r="10" spans="1:8" ht="75" x14ac:dyDescent="0.25">
      <c r="C10" s="621"/>
      <c r="D10" s="621"/>
      <c r="E10" s="200" t="s">
        <v>342</v>
      </c>
      <c r="F10" s="93"/>
      <c r="G10" s="621"/>
      <c r="H10" s="200" t="s">
        <v>318</v>
      </c>
    </row>
    <row r="11" spans="1:8" ht="45" x14ac:dyDescent="0.25">
      <c r="C11" s="621"/>
      <c r="D11" s="621"/>
      <c r="E11" s="201" t="s">
        <v>100</v>
      </c>
      <c r="F11" s="93"/>
      <c r="G11" s="621"/>
      <c r="H11" s="200" t="s">
        <v>319</v>
      </c>
    </row>
    <row r="12" spans="1:8" ht="45" x14ac:dyDescent="0.25">
      <c r="C12" s="585" t="s">
        <v>48</v>
      </c>
      <c r="D12" s="585" t="s">
        <v>320</v>
      </c>
      <c r="E12" s="198" t="s">
        <v>343</v>
      </c>
      <c r="F12" s="93"/>
      <c r="G12" s="585" t="s">
        <v>48</v>
      </c>
      <c r="H12" s="198" t="s">
        <v>321</v>
      </c>
    </row>
    <row r="13" spans="1:8" ht="30" x14ac:dyDescent="0.25">
      <c r="A13" s="68">
        <f>235/4</f>
        <v>58.75</v>
      </c>
      <c r="C13" s="585"/>
      <c r="D13" s="585"/>
      <c r="E13" s="198" t="s">
        <v>344</v>
      </c>
      <c r="F13" s="93"/>
      <c r="G13" s="585"/>
      <c r="H13" s="198" t="s">
        <v>315</v>
      </c>
    </row>
    <row r="14" spans="1:8" ht="30" x14ac:dyDescent="0.25">
      <c r="C14" s="585"/>
      <c r="D14" s="585"/>
      <c r="E14" s="198" t="s">
        <v>345</v>
      </c>
      <c r="F14" s="93"/>
      <c r="G14" s="585"/>
      <c r="H14" s="192" t="s">
        <v>100</v>
      </c>
    </row>
    <row r="15" spans="1:8" ht="30" x14ac:dyDescent="0.25">
      <c r="C15" s="585"/>
      <c r="D15" s="585"/>
      <c r="E15" s="198" t="s">
        <v>346</v>
      </c>
      <c r="F15" s="93"/>
      <c r="G15" s="585"/>
      <c r="H15" s="192" t="s">
        <v>100</v>
      </c>
    </row>
    <row r="16" spans="1:8" ht="75" x14ac:dyDescent="0.25">
      <c r="C16" s="616" t="s">
        <v>49</v>
      </c>
      <c r="D16" s="616" t="s">
        <v>322</v>
      </c>
      <c r="E16" s="200" t="s">
        <v>347</v>
      </c>
      <c r="F16" s="93"/>
      <c r="G16" s="616" t="s">
        <v>49</v>
      </c>
      <c r="H16" s="200" t="s">
        <v>323</v>
      </c>
    </row>
    <row r="17" spans="3:8" ht="34.5" customHeight="1" x14ac:dyDescent="0.25">
      <c r="C17" s="620"/>
      <c r="D17" s="620"/>
      <c r="E17" s="200" t="s">
        <v>348</v>
      </c>
      <c r="F17" s="93"/>
      <c r="G17" s="620"/>
      <c r="H17" s="200" t="s">
        <v>324</v>
      </c>
    </row>
    <row r="18" spans="3:8" ht="15.75" x14ac:dyDescent="0.25">
      <c r="C18" s="620"/>
      <c r="D18" s="620"/>
      <c r="E18" s="200" t="s">
        <v>349</v>
      </c>
      <c r="F18" s="93"/>
      <c r="G18" s="620"/>
      <c r="H18" s="201" t="s">
        <v>100</v>
      </c>
    </row>
    <row r="19" spans="3:8" ht="33" customHeight="1" x14ac:dyDescent="0.25">
      <c r="C19" s="617"/>
      <c r="D19" s="617"/>
      <c r="E19" s="200" t="s">
        <v>350</v>
      </c>
      <c r="F19" s="93"/>
      <c r="G19" s="617"/>
      <c r="H19" s="201" t="s">
        <v>100</v>
      </c>
    </row>
    <row r="20" spans="3:8" ht="60" x14ac:dyDescent="0.25">
      <c r="C20" s="618" t="s">
        <v>50</v>
      </c>
      <c r="D20" s="618" t="s">
        <v>325</v>
      </c>
      <c r="E20" s="198" t="s">
        <v>351</v>
      </c>
      <c r="F20" s="93"/>
      <c r="G20" s="618" t="s">
        <v>50</v>
      </c>
      <c r="H20" s="198" t="s">
        <v>326</v>
      </c>
    </row>
    <row r="21" spans="3:8" ht="33" customHeight="1" x14ac:dyDescent="0.25">
      <c r="C21" s="619"/>
      <c r="D21" s="619"/>
      <c r="E21" s="198" t="s">
        <v>352</v>
      </c>
      <c r="F21" s="93"/>
      <c r="G21" s="619"/>
      <c r="H21" s="198" t="s">
        <v>327</v>
      </c>
    </row>
    <row r="22" spans="3:8" ht="33" customHeight="1" x14ac:dyDescent="0.25">
      <c r="C22" s="619"/>
      <c r="D22" s="619"/>
      <c r="E22" s="198" t="s">
        <v>353</v>
      </c>
      <c r="F22" s="93"/>
      <c r="G22" s="619"/>
      <c r="H22" s="198" t="s">
        <v>328</v>
      </c>
    </row>
    <row r="23" spans="3:8" ht="30" x14ac:dyDescent="0.25">
      <c r="C23" s="583"/>
      <c r="D23" s="583"/>
      <c r="E23" s="192" t="s">
        <v>100</v>
      </c>
      <c r="F23" s="93"/>
      <c r="G23" s="583"/>
      <c r="H23" s="198" t="s">
        <v>324</v>
      </c>
    </row>
    <row r="24" spans="3:8" ht="61.5" customHeight="1" x14ac:dyDescent="0.25">
      <c r="C24" s="616" t="s">
        <v>51</v>
      </c>
      <c r="D24" s="616" t="s">
        <v>329</v>
      </c>
      <c r="E24" s="200" t="s">
        <v>354</v>
      </c>
      <c r="F24" s="93"/>
      <c r="G24" s="616" t="s">
        <v>51</v>
      </c>
      <c r="H24" s="200" t="s">
        <v>330</v>
      </c>
    </row>
    <row r="25" spans="3:8" ht="30" x14ac:dyDescent="0.25">
      <c r="C25" s="617"/>
      <c r="D25" s="617"/>
      <c r="E25" s="200" t="s">
        <v>355</v>
      </c>
      <c r="F25" s="93"/>
      <c r="G25" s="617"/>
      <c r="H25" s="200" t="s">
        <v>324</v>
      </c>
    </row>
    <row r="26" spans="3:8" ht="120" x14ac:dyDescent="0.25">
      <c r="C26" s="618" t="s">
        <v>52</v>
      </c>
      <c r="D26" s="618" t="s">
        <v>331</v>
      </c>
      <c r="E26" s="198" t="s">
        <v>356</v>
      </c>
      <c r="F26" s="93"/>
      <c r="G26" s="618" t="s">
        <v>52</v>
      </c>
      <c r="H26" s="198" t="s">
        <v>332</v>
      </c>
    </row>
    <row r="27" spans="3:8" ht="15.75" x14ac:dyDescent="0.25">
      <c r="C27" s="619"/>
      <c r="D27" s="619"/>
      <c r="E27" s="192" t="s">
        <v>100</v>
      </c>
      <c r="F27" s="93"/>
      <c r="G27" s="619"/>
      <c r="H27" s="613" t="s">
        <v>333</v>
      </c>
    </row>
    <row r="28" spans="3:8" ht="39" customHeight="1" x14ac:dyDescent="0.25">
      <c r="C28" s="619"/>
      <c r="D28" s="619"/>
      <c r="E28" s="192" t="s">
        <v>100</v>
      </c>
      <c r="F28" s="93"/>
      <c r="G28" s="619"/>
      <c r="H28" s="614"/>
    </row>
    <row r="29" spans="3:8" ht="36.75" customHeight="1" x14ac:dyDescent="0.25">
      <c r="C29" s="619"/>
      <c r="D29" s="619"/>
      <c r="E29" s="192" t="s">
        <v>100</v>
      </c>
      <c r="F29" s="93"/>
      <c r="G29" s="619"/>
      <c r="H29" s="614"/>
    </row>
    <row r="30" spans="3:8" ht="23.25" customHeight="1" x14ac:dyDescent="0.25">
      <c r="C30" s="583"/>
      <c r="D30" s="583"/>
      <c r="E30" s="192" t="s">
        <v>100</v>
      </c>
      <c r="F30" s="93"/>
      <c r="G30" s="583"/>
      <c r="H30" s="615"/>
    </row>
    <row r="31" spans="3:8" ht="45" x14ac:dyDescent="0.25">
      <c r="C31" s="201" t="s">
        <v>53</v>
      </c>
      <c r="D31" s="201" t="s">
        <v>334</v>
      </c>
      <c r="E31" s="200" t="s">
        <v>357</v>
      </c>
      <c r="F31" s="93"/>
      <c r="G31" s="201" t="s">
        <v>53</v>
      </c>
      <c r="H31" s="201" t="s">
        <v>335</v>
      </c>
    </row>
    <row r="32" spans="3:8" ht="30" x14ac:dyDescent="0.25">
      <c r="C32" s="192" t="s">
        <v>54</v>
      </c>
      <c r="D32" s="192" t="s">
        <v>149</v>
      </c>
      <c r="E32" s="198" t="s">
        <v>358</v>
      </c>
      <c r="F32" s="93"/>
      <c r="G32" s="192" t="s">
        <v>54</v>
      </c>
      <c r="H32" s="192" t="s">
        <v>335</v>
      </c>
    </row>
    <row r="33" spans="3:8" ht="30" x14ac:dyDescent="0.25">
      <c r="C33" s="201" t="s">
        <v>55</v>
      </c>
      <c r="D33" s="201" t="s">
        <v>150</v>
      </c>
      <c r="E33" s="200" t="s">
        <v>359</v>
      </c>
      <c r="F33" s="93"/>
      <c r="G33" s="201" t="s">
        <v>55</v>
      </c>
      <c r="H33" s="201" t="s">
        <v>335</v>
      </c>
    </row>
    <row r="34" spans="3:8" ht="30" x14ac:dyDescent="0.25">
      <c r="C34" s="192" t="s">
        <v>56</v>
      </c>
      <c r="D34" s="192" t="s">
        <v>151</v>
      </c>
      <c r="E34" s="198" t="s">
        <v>360</v>
      </c>
      <c r="F34" s="93"/>
      <c r="G34" s="192" t="s">
        <v>56</v>
      </c>
      <c r="H34" s="192" t="s">
        <v>335</v>
      </c>
    </row>
  </sheetData>
  <mergeCells count="27">
    <mergeCell ref="C4:C8"/>
    <mergeCell ref="D4:D8"/>
    <mergeCell ref="G4:G8"/>
    <mergeCell ref="D1:E1"/>
    <mergeCell ref="G1:H1"/>
    <mergeCell ref="C2:C3"/>
    <mergeCell ref="D2:E3"/>
    <mergeCell ref="G2:H3"/>
    <mergeCell ref="C9:C11"/>
    <mergeCell ref="D9:D11"/>
    <mergeCell ref="G9:G11"/>
    <mergeCell ref="C12:C15"/>
    <mergeCell ref="D12:D15"/>
    <mergeCell ref="G12:G15"/>
    <mergeCell ref="C16:C19"/>
    <mergeCell ref="D16:D19"/>
    <mergeCell ref="G16:G19"/>
    <mergeCell ref="C20:C23"/>
    <mergeCell ref="D20:D23"/>
    <mergeCell ref="G20:G23"/>
    <mergeCell ref="H27:H30"/>
    <mergeCell ref="C24:C25"/>
    <mergeCell ref="D24:D25"/>
    <mergeCell ref="G24:G25"/>
    <mergeCell ref="C26:C30"/>
    <mergeCell ref="D26:D30"/>
    <mergeCell ref="G26:G3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view="pageBreakPreview" zoomScaleNormal="100" zoomScaleSheetLayoutView="100" workbookViewId="0">
      <selection activeCell="G16" sqref="G16"/>
    </sheetView>
  </sheetViews>
  <sheetFormatPr defaultRowHeight="12.75" x14ac:dyDescent="0.2"/>
  <cols>
    <col min="1" max="1" width="8.7109375" style="20" customWidth="1"/>
    <col min="2" max="2" width="6.7109375" style="19" customWidth="1"/>
    <col min="3" max="3" width="70.85546875" style="20" customWidth="1"/>
    <col min="4" max="4" width="13.7109375" style="20" bestFit="1" customWidth="1"/>
    <col min="5" max="5" width="14.28515625" style="19" customWidth="1"/>
    <col min="6" max="6" width="14.7109375" style="20" customWidth="1"/>
    <col min="7" max="7" width="19.140625" style="20" customWidth="1"/>
    <col min="8" max="8" width="8.7109375" style="21" customWidth="1"/>
    <col min="9" max="11" width="15.7109375" style="20" customWidth="1"/>
    <col min="12" max="16384" width="9.140625" style="20"/>
  </cols>
  <sheetData>
    <row r="1" spans="2:9" ht="16.5" customHeight="1" x14ac:dyDescent="0.2">
      <c r="B1" s="74"/>
      <c r="E1" s="74"/>
    </row>
    <row r="2" spans="2:9" ht="45.75" customHeight="1" x14ac:dyDescent="0.2">
      <c r="B2" s="484" t="str">
        <f>CONCATENATE("Custos Mensais da Estrutura de Apoio - Município de ",'Dados Gerais do Município'!D8)</f>
        <v>Custos Mensais da Estrutura de Apoio - Município de Exemplo</v>
      </c>
      <c r="C2" s="485"/>
      <c r="D2" s="485"/>
      <c r="E2" s="485"/>
      <c r="F2" s="485"/>
      <c r="G2" s="486"/>
    </row>
    <row r="3" spans="2:9" ht="32.25" customHeight="1" x14ac:dyDescent="0.2">
      <c r="B3" s="494" t="s">
        <v>424</v>
      </c>
      <c r="C3" s="495"/>
      <c r="D3" s="495"/>
      <c r="E3" s="495"/>
      <c r="F3" s="495"/>
      <c r="G3" s="496"/>
    </row>
    <row r="4" spans="2:9" ht="16.5" customHeight="1" x14ac:dyDescent="0.2"/>
    <row r="5" spans="2:9" s="17" customFormat="1" ht="30" customHeight="1" x14ac:dyDescent="0.25">
      <c r="B5" s="281">
        <v>1</v>
      </c>
      <c r="C5" s="282" t="s">
        <v>104</v>
      </c>
      <c r="D5" s="282" t="s">
        <v>5</v>
      </c>
      <c r="E5" s="282" t="s">
        <v>16</v>
      </c>
      <c r="F5" s="282" t="s">
        <v>170</v>
      </c>
      <c r="G5" s="283" t="s">
        <v>4</v>
      </c>
      <c r="H5" s="21"/>
    </row>
    <row r="6" spans="2:9" s="17" customFormat="1" ht="28.5" x14ac:dyDescent="0.25">
      <c r="B6" s="284" t="s">
        <v>9</v>
      </c>
      <c r="C6" s="111" t="s">
        <v>216</v>
      </c>
      <c r="D6" s="110" t="s">
        <v>275</v>
      </c>
      <c r="E6" s="112"/>
      <c r="F6" s="113"/>
      <c r="G6" s="285">
        <f t="shared" ref="G6:G10" si="0">ROUND(E6*F6,2)</f>
        <v>0</v>
      </c>
      <c r="H6" s="21"/>
    </row>
    <row r="7" spans="2:9" s="17" customFormat="1" ht="14.25" x14ac:dyDescent="0.25">
      <c r="B7" s="284" t="s">
        <v>10</v>
      </c>
      <c r="C7" s="111" t="s">
        <v>211</v>
      </c>
      <c r="D7" s="110" t="s">
        <v>275</v>
      </c>
      <c r="E7" s="112"/>
      <c r="F7" s="113"/>
      <c r="G7" s="285">
        <f t="shared" si="0"/>
        <v>0</v>
      </c>
      <c r="H7" s="21"/>
    </row>
    <row r="8" spans="2:9" s="17" customFormat="1" ht="14.25" x14ac:dyDescent="0.25">
      <c r="B8" s="284" t="s">
        <v>0</v>
      </c>
      <c r="C8" s="111" t="s">
        <v>212</v>
      </c>
      <c r="D8" s="110" t="s">
        <v>275</v>
      </c>
      <c r="E8" s="112"/>
      <c r="F8" s="113"/>
      <c r="G8" s="285">
        <f t="shared" si="0"/>
        <v>0</v>
      </c>
      <c r="H8" s="21"/>
    </row>
    <row r="9" spans="2:9" ht="28.5" x14ac:dyDescent="0.2">
      <c r="B9" s="284" t="s">
        <v>1</v>
      </c>
      <c r="C9" s="111" t="s">
        <v>213</v>
      </c>
      <c r="D9" s="110" t="s">
        <v>275</v>
      </c>
      <c r="E9" s="112"/>
      <c r="F9" s="113"/>
      <c r="G9" s="285">
        <f t="shared" si="0"/>
        <v>0</v>
      </c>
      <c r="I9" s="17"/>
    </row>
    <row r="10" spans="2:9" ht="14.25" x14ac:dyDescent="0.2">
      <c r="B10" s="284" t="s">
        <v>11</v>
      </c>
      <c r="C10" s="111" t="s">
        <v>214</v>
      </c>
      <c r="D10" s="110" t="s">
        <v>275</v>
      </c>
      <c r="E10" s="112"/>
      <c r="F10" s="113"/>
      <c r="G10" s="285">
        <f t="shared" si="0"/>
        <v>0</v>
      </c>
      <c r="I10" s="17"/>
    </row>
    <row r="11" spans="2:9" ht="14.25" x14ac:dyDescent="0.2">
      <c r="B11" s="284" t="s">
        <v>12</v>
      </c>
      <c r="C11" s="111" t="s">
        <v>215</v>
      </c>
      <c r="D11" s="110" t="s">
        <v>276</v>
      </c>
      <c r="E11" s="112"/>
      <c r="F11" s="113"/>
      <c r="G11" s="285">
        <f t="shared" ref="G11:G12" si="1">ROUND(E11*F11,2)</f>
        <v>0</v>
      </c>
      <c r="I11" s="17"/>
    </row>
    <row r="12" spans="2:9" ht="14.25" x14ac:dyDescent="0.2">
      <c r="B12" s="284" t="s">
        <v>137</v>
      </c>
      <c r="C12" s="111" t="s">
        <v>217</v>
      </c>
      <c r="D12" s="110" t="s">
        <v>274</v>
      </c>
      <c r="E12" s="112"/>
      <c r="F12" s="113"/>
      <c r="G12" s="285">
        <f t="shared" si="1"/>
        <v>0</v>
      </c>
      <c r="I12" s="17"/>
    </row>
    <row r="13" spans="2:9" ht="14.25" x14ac:dyDescent="0.2">
      <c r="B13" s="286" t="s">
        <v>138</v>
      </c>
      <c r="C13" s="287" t="s">
        <v>218</v>
      </c>
      <c r="D13" s="288" t="s">
        <v>274</v>
      </c>
      <c r="E13" s="289"/>
      <c r="F13" s="290"/>
      <c r="G13" s="291">
        <f t="shared" ref="G13" si="2">ROUND(E13*F13,2)</f>
        <v>0</v>
      </c>
      <c r="H13" s="23"/>
      <c r="I13" s="17"/>
    </row>
    <row r="14" spans="2:9" ht="16.5" customHeight="1" x14ac:dyDescent="0.2">
      <c r="B14" s="110"/>
      <c r="C14" s="111"/>
      <c r="D14" s="114"/>
      <c r="E14" s="115"/>
      <c r="F14" s="113"/>
      <c r="G14" s="113"/>
      <c r="H14" s="23"/>
    </row>
    <row r="15" spans="2:9" ht="30" customHeight="1" x14ac:dyDescent="0.2">
      <c r="B15" s="492" t="s">
        <v>169</v>
      </c>
      <c r="C15" s="493"/>
      <c r="D15" s="493"/>
      <c r="E15" s="493"/>
      <c r="F15" s="493"/>
      <c r="G15" s="280">
        <f>SUM(G6:G13)</f>
        <v>0</v>
      </c>
    </row>
    <row r="16" spans="2:9" ht="16.5" customHeight="1" x14ac:dyDescent="0.2"/>
  </sheetData>
  <mergeCells count="3">
    <mergeCell ref="B15:F15"/>
    <mergeCell ref="B2:G2"/>
    <mergeCell ref="B3:G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view="pageBreakPreview" topLeftCell="A4" zoomScale="70" zoomScaleNormal="70" zoomScaleSheetLayoutView="70" workbookViewId="0">
      <selection activeCell="D8" sqref="D8"/>
    </sheetView>
  </sheetViews>
  <sheetFormatPr defaultRowHeight="16.5" x14ac:dyDescent="0.3"/>
  <cols>
    <col min="1" max="1" width="8.7109375" style="26" customWidth="1"/>
    <col min="2" max="2" width="36.85546875" style="26" bestFit="1" customWidth="1"/>
    <col min="3" max="4" width="19.42578125" style="26" customWidth="1"/>
    <col min="5" max="5" width="22.140625" style="26" customWidth="1"/>
    <col min="6" max="10" width="19.42578125" style="26" customWidth="1"/>
    <col min="11" max="11" width="20.140625" style="26" customWidth="1"/>
    <col min="12" max="12" width="15.140625" style="26" customWidth="1"/>
    <col min="13" max="13" width="14.5703125" style="26" customWidth="1"/>
    <col min="14" max="14" width="13.5703125" style="26" customWidth="1"/>
    <col min="15" max="15" width="8.7109375" style="26" customWidth="1"/>
    <col min="16" max="16" width="9.140625" style="26"/>
    <col min="17" max="17" width="9.140625" style="80"/>
    <col min="18" max="18" width="13.42578125" style="80" customWidth="1"/>
    <col min="19" max="19" width="10.7109375" style="80" customWidth="1"/>
    <col min="20" max="24" width="9.140625" style="80"/>
    <col min="25" max="16384" width="9.140625" style="26"/>
  </cols>
  <sheetData>
    <row r="1" spans="2:24" ht="16.5" customHeight="1" x14ac:dyDescent="0.3"/>
    <row r="2" spans="2:24" ht="51.75" customHeight="1" x14ac:dyDescent="0.3">
      <c r="B2" s="497" t="str">
        <f>CONCATENATE("Distribuição dos Custos FIXOS sem BDI - Município de ",'Dados Gerais do Município'!D8)</f>
        <v>Distribuição dos Custos FIXOS sem BDI - Município de Exemplo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9"/>
      <c r="R2" s="82" t="s">
        <v>260</v>
      </c>
    </row>
    <row r="3" spans="2:24" ht="18.75" customHeight="1" x14ac:dyDescent="0.3">
      <c r="B3" s="500" t="s">
        <v>194</v>
      </c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2"/>
      <c r="R3" s="83">
        <f>30/6/100</f>
        <v>0.05</v>
      </c>
      <c r="S3" s="81">
        <f>(5/3)/100</f>
        <v>1.6666666666666666E-2</v>
      </c>
    </row>
    <row r="4" spans="2:24" ht="16.5" customHeight="1" x14ac:dyDescent="0.3">
      <c r="B4" s="79"/>
      <c r="C4" s="79"/>
      <c r="D4" s="87">
        <f>E4*3</f>
        <v>0.12857142857142856</v>
      </c>
      <c r="E4" s="87">
        <f>30/7/100</f>
        <v>4.2857142857142858E-2</v>
      </c>
      <c r="F4" s="88">
        <f>5/3/100</f>
        <v>1.6666666666666666E-2</v>
      </c>
      <c r="G4" s="79"/>
      <c r="H4" s="78"/>
      <c r="I4" s="79"/>
    </row>
    <row r="5" spans="2:24" ht="30" customHeight="1" x14ac:dyDescent="0.3">
      <c r="B5" s="504" t="s">
        <v>171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6"/>
    </row>
    <row r="6" spans="2:24" s="27" customFormat="1" ht="48.75" customHeight="1" x14ac:dyDescent="0.3">
      <c r="B6" s="292" t="s">
        <v>45</v>
      </c>
      <c r="C6" s="292" t="s">
        <v>17</v>
      </c>
      <c r="D6" s="292" t="s">
        <v>18</v>
      </c>
      <c r="E6" s="292" t="s">
        <v>19</v>
      </c>
      <c r="F6" s="292" t="s">
        <v>20</v>
      </c>
      <c r="G6" s="292" t="s">
        <v>21</v>
      </c>
      <c r="H6" s="292" t="s">
        <v>22</v>
      </c>
      <c r="I6" s="292" t="s">
        <v>23</v>
      </c>
      <c r="J6" s="292" t="s">
        <v>24</v>
      </c>
      <c r="K6" s="292" t="s">
        <v>32</v>
      </c>
      <c r="L6" s="292" t="s">
        <v>238</v>
      </c>
      <c r="M6" s="292" t="s">
        <v>175</v>
      </c>
      <c r="N6" s="292" t="s">
        <v>174</v>
      </c>
      <c r="Q6" s="89"/>
      <c r="R6" s="89"/>
      <c r="S6" s="89"/>
      <c r="T6" s="89"/>
      <c r="U6" s="89"/>
      <c r="V6" s="89"/>
      <c r="W6" s="89"/>
      <c r="X6" s="89"/>
    </row>
    <row r="7" spans="2:24" s="4" customFormat="1" ht="34.5" customHeight="1" x14ac:dyDescent="0.25">
      <c r="B7" s="116" t="s">
        <v>46</v>
      </c>
      <c r="C7" s="314">
        <v>0.125</v>
      </c>
      <c r="D7" s="202"/>
      <c r="E7" s="202"/>
      <c r="F7" s="202"/>
      <c r="G7" s="202"/>
      <c r="H7" s="202"/>
      <c r="I7" s="202"/>
      <c r="J7" s="202"/>
      <c r="K7" s="443">
        <f t="shared" ref="K7:K13" si="0">SUM(C7:J7)</f>
        <v>0.125</v>
      </c>
      <c r="L7" s="307">
        <f>K7/$K$14</f>
        <v>1.5625E-2</v>
      </c>
      <c r="M7" s="308">
        <f>SUBTOTAL(3,C7:J7)</f>
        <v>1</v>
      </c>
      <c r="N7" s="307">
        <f>K7/M7</f>
        <v>0.125</v>
      </c>
      <c r="P7" s="69"/>
      <c r="Q7" s="85">
        <v>5.7142857142857141E-2</v>
      </c>
      <c r="R7" s="85"/>
      <c r="S7" s="85"/>
      <c r="T7" s="85"/>
      <c r="U7" s="85"/>
      <c r="V7" s="85"/>
      <c r="W7" s="85"/>
      <c r="X7" s="85"/>
    </row>
    <row r="8" spans="2:24" s="4" customFormat="1" ht="19.5" customHeight="1" x14ac:dyDescent="0.25">
      <c r="B8" s="116" t="s">
        <v>47</v>
      </c>
      <c r="C8" s="314">
        <f>0.5-0.0375/2+0.0375/2-0.125</f>
        <v>0.375</v>
      </c>
      <c r="D8" s="314">
        <f>ROUND(0.2+0.0125/3+0.0375/2+0.1042/2,4)</f>
        <v>0.27500000000000002</v>
      </c>
      <c r="E8" s="202"/>
      <c r="F8" s="202"/>
      <c r="G8" s="202"/>
      <c r="H8" s="202"/>
      <c r="I8" s="202"/>
      <c r="J8" s="202"/>
      <c r="K8" s="443">
        <f t="shared" si="0"/>
        <v>0.65</v>
      </c>
      <c r="L8" s="307">
        <f>K8/$K$14</f>
        <v>8.1250000000000003E-2</v>
      </c>
      <c r="M8" s="308">
        <f>SUBTOTAL(3,C8:J8)</f>
        <v>2</v>
      </c>
      <c r="N8" s="307">
        <f t="shared" ref="N8:N13" si="1">K8/M8</f>
        <v>0.32500000000000001</v>
      </c>
      <c r="O8" s="85">
        <v>10</v>
      </c>
      <c r="P8" s="86"/>
      <c r="Q8" s="85">
        <v>0.47142857142857142</v>
      </c>
      <c r="R8" s="85">
        <v>0.32500000000000001</v>
      </c>
      <c r="S8" s="85">
        <v>0.125</v>
      </c>
      <c r="T8" s="85">
        <v>0.11666666666666667</v>
      </c>
      <c r="U8" s="85">
        <v>0.11666666666666667</v>
      </c>
      <c r="V8" s="85">
        <v>0.11666666666666667</v>
      </c>
      <c r="W8" s="85">
        <v>0.11600000000000001</v>
      </c>
      <c r="X8" s="85">
        <v>0.11600000000000001</v>
      </c>
    </row>
    <row r="9" spans="2:24" s="4" customFormat="1" ht="19.5" customHeight="1" x14ac:dyDescent="0.25">
      <c r="B9" s="116" t="s">
        <v>48</v>
      </c>
      <c r="C9" s="314">
        <f>0.5-0.0375/2+0.0375/2</f>
        <v>0.5</v>
      </c>
      <c r="D9" s="314">
        <f>ROUND(0.65+0.0125/3+0.0375/2+0.1042/2,4)</f>
        <v>0.72499999999999998</v>
      </c>
      <c r="E9" s="314">
        <f>0.85+0.0125/2+0.0375+0.10625</f>
        <v>0.99999999999999989</v>
      </c>
      <c r="F9" s="314">
        <f>ROUND(0.35+0.0125/3+0.0375/2+0.1042/2,4)</f>
        <v>0.42499999999999999</v>
      </c>
      <c r="G9" s="203"/>
      <c r="H9" s="203"/>
      <c r="I9" s="203"/>
      <c r="J9" s="202"/>
      <c r="K9" s="443">
        <f t="shared" si="0"/>
        <v>2.65</v>
      </c>
      <c r="L9" s="307">
        <f t="shared" ref="L9:L13" si="2">K9/$K$14</f>
        <v>0.33124999999999999</v>
      </c>
      <c r="M9" s="308">
        <f t="shared" ref="M9:M13" si="3">SUBTOTAL(3,C9:J9)</f>
        <v>4</v>
      </c>
      <c r="N9" s="307">
        <f t="shared" si="1"/>
        <v>0.66249999999999998</v>
      </c>
      <c r="O9" s="85"/>
      <c r="P9" s="86"/>
      <c r="Q9" s="85">
        <v>0.47142857142857142</v>
      </c>
      <c r="R9" s="85">
        <v>0.67500000000000004</v>
      </c>
      <c r="S9" s="85">
        <v>0.875</v>
      </c>
      <c r="T9" s="85">
        <v>0.51666666666666672</v>
      </c>
      <c r="U9" s="85"/>
      <c r="V9" s="85"/>
      <c r="W9" s="85"/>
      <c r="X9" s="85"/>
    </row>
    <row r="10" spans="2:24" s="4" customFormat="1" ht="19.5" customHeight="1" x14ac:dyDescent="0.25">
      <c r="B10" s="116" t="s">
        <v>49</v>
      </c>
      <c r="C10" s="204"/>
      <c r="D10" s="205"/>
      <c r="E10" s="205"/>
      <c r="F10" s="314">
        <f>ROUND(0.5+0.0125/3+0.0375/2+0.1042/2,4)</f>
        <v>0.57499999999999996</v>
      </c>
      <c r="G10" s="314">
        <f>ROUNDUP(0.5+0.0125/4+0.0375/2+0.1031/3,4)</f>
        <v>0.55630000000000002</v>
      </c>
      <c r="H10" s="203"/>
      <c r="I10" s="203"/>
      <c r="J10" s="202"/>
      <c r="K10" s="443">
        <f t="shared" si="0"/>
        <v>1.1313</v>
      </c>
      <c r="L10" s="307">
        <f t="shared" si="2"/>
        <v>0.1414125</v>
      </c>
      <c r="M10" s="308">
        <f t="shared" si="3"/>
        <v>2</v>
      </c>
      <c r="N10" s="307">
        <f t="shared" si="1"/>
        <v>0.56564999999999999</v>
      </c>
      <c r="O10" s="85"/>
      <c r="P10" s="86"/>
      <c r="Q10" s="85"/>
      <c r="R10" s="85"/>
      <c r="S10" s="85"/>
      <c r="T10" s="85"/>
      <c r="U10" s="85">
        <v>0.6166666666666667</v>
      </c>
      <c r="V10" s="85">
        <v>0.36666666666666664</v>
      </c>
      <c r="W10" s="85"/>
      <c r="X10" s="85"/>
    </row>
    <row r="11" spans="2:24" s="4" customFormat="1" ht="19.5" customHeight="1" x14ac:dyDescent="0.25">
      <c r="B11" s="116" t="s">
        <v>50</v>
      </c>
      <c r="C11" s="204"/>
      <c r="D11" s="205"/>
      <c r="E11" s="205"/>
      <c r="F11" s="205"/>
      <c r="G11" s="314">
        <f>ROUND(0.2+0.0125/4+0.0375/2+0.1031/3+0.1531,4)</f>
        <v>0.4093</v>
      </c>
      <c r="H11" s="314">
        <f>ROUNDDOWN(0.5+0.0125/3+0.0375+0.1042/2+0.3542,4)</f>
        <v>0.94789999999999996</v>
      </c>
      <c r="I11" s="314">
        <f>0.3+0.0125/5+0.0375/3+0.1025/3+0.3</f>
        <v>0.64916666666666667</v>
      </c>
      <c r="J11" s="314">
        <f>0.5</f>
        <v>0.5</v>
      </c>
      <c r="K11" s="443">
        <f t="shared" si="0"/>
        <v>2.5063666666666666</v>
      </c>
      <c r="L11" s="307">
        <f t="shared" si="2"/>
        <v>0.31329583333333333</v>
      </c>
      <c r="M11" s="308">
        <f t="shared" si="3"/>
        <v>4</v>
      </c>
      <c r="N11" s="307">
        <f t="shared" si="1"/>
        <v>0.62659166666666666</v>
      </c>
      <c r="O11" s="85"/>
      <c r="P11" s="86"/>
      <c r="Q11" s="85"/>
      <c r="R11" s="85"/>
      <c r="S11" s="85"/>
      <c r="T11" s="85"/>
      <c r="U11" s="85"/>
      <c r="V11" s="85">
        <v>0.36666666666666664</v>
      </c>
      <c r="W11" s="85">
        <v>0.86599999999999999</v>
      </c>
      <c r="X11" s="85">
        <v>0.86599999999999999</v>
      </c>
    </row>
    <row r="12" spans="2:24" s="4" customFormat="1" ht="19.5" customHeight="1" x14ac:dyDescent="0.25">
      <c r="B12" s="116" t="s">
        <v>51</v>
      </c>
      <c r="C12" s="204"/>
      <c r="D12" s="205"/>
      <c r="E12" s="205"/>
      <c r="F12" s="205"/>
      <c r="G12" s="314">
        <f>ROUNDUP(0.1531+0.1031/3-0.1531,4)</f>
        <v>3.44E-2</v>
      </c>
      <c r="H12" s="314">
        <f>ROUNDDOWN(0.3542+0.1042/2-0.3542,4)</f>
        <v>5.21E-2</v>
      </c>
      <c r="I12" s="314">
        <f>0.3+0.0125/5+0.0375/3+0.2025+0.1025/3-0.3</f>
        <v>0.25166666666666676</v>
      </c>
      <c r="J12" s="314">
        <f>0.5-0.0375/5+0.0375/2+0.2425+0.0925/2-0.5</f>
        <v>0.29999999999999993</v>
      </c>
      <c r="K12" s="443">
        <f t="shared" si="0"/>
        <v>0.63816666666666666</v>
      </c>
      <c r="L12" s="307">
        <f t="shared" si="2"/>
        <v>7.9770833333333332E-2</v>
      </c>
      <c r="M12" s="308">
        <f t="shared" si="3"/>
        <v>4</v>
      </c>
      <c r="N12" s="307">
        <f t="shared" si="1"/>
        <v>0.15954166666666666</v>
      </c>
      <c r="O12" s="85"/>
      <c r="P12" s="86">
        <f>5/3</f>
        <v>1.6666666666666667</v>
      </c>
      <c r="Q12" s="85"/>
      <c r="R12" s="85"/>
      <c r="S12" s="85"/>
      <c r="T12" s="85">
        <v>0.36666666666666664</v>
      </c>
      <c r="U12" s="85">
        <v>0.26666666666666666</v>
      </c>
      <c r="V12" s="85">
        <v>0.15</v>
      </c>
      <c r="W12" s="85">
        <v>1.6E-2</v>
      </c>
      <c r="X12" s="85">
        <v>1.6E-2</v>
      </c>
    </row>
    <row r="13" spans="2:24" s="4" customFormat="1" ht="19.5" customHeight="1" x14ac:dyDescent="0.25">
      <c r="B13" s="116" t="s">
        <v>52</v>
      </c>
      <c r="C13" s="204"/>
      <c r="D13" s="205"/>
      <c r="E13" s="205"/>
      <c r="F13" s="205"/>
      <c r="G13" s="205"/>
      <c r="H13" s="205"/>
      <c r="I13" s="314">
        <f>0.05+0.0125/5+0.0375/3+0.1025/3</f>
        <v>9.9166666666666667E-2</v>
      </c>
      <c r="J13" s="314">
        <f>0.05-0.0375/5+0.0375/2+0.0925+0.0925/2</f>
        <v>0.2</v>
      </c>
      <c r="K13" s="443">
        <f t="shared" si="0"/>
        <v>0.29916666666666669</v>
      </c>
      <c r="L13" s="307">
        <f t="shared" si="2"/>
        <v>3.7395833333333336E-2</v>
      </c>
      <c r="M13" s="308">
        <f t="shared" si="3"/>
        <v>2</v>
      </c>
      <c r="N13" s="307">
        <f t="shared" si="1"/>
        <v>0.14958333333333335</v>
      </c>
      <c r="O13" s="85"/>
      <c r="P13" s="86"/>
      <c r="Q13" s="85"/>
      <c r="R13" s="85"/>
      <c r="S13" s="85"/>
      <c r="T13" s="85"/>
      <c r="U13" s="85"/>
      <c r="V13" s="85"/>
      <c r="W13" s="85"/>
      <c r="X13" s="85"/>
    </row>
    <row r="14" spans="2:24" s="4" customFormat="1" ht="19.5" customHeight="1" x14ac:dyDescent="0.25">
      <c r="B14" s="304" t="s">
        <v>32</v>
      </c>
      <c r="C14" s="305">
        <f>SUM(C7:C13)</f>
        <v>1</v>
      </c>
      <c r="D14" s="305">
        <f t="shared" ref="D14:J14" si="4">SUM(D7:D13)</f>
        <v>1</v>
      </c>
      <c r="E14" s="305">
        <f t="shared" si="4"/>
        <v>0.99999999999999989</v>
      </c>
      <c r="F14" s="305">
        <f t="shared" si="4"/>
        <v>1</v>
      </c>
      <c r="G14" s="305">
        <f t="shared" si="4"/>
        <v>1</v>
      </c>
      <c r="H14" s="305">
        <f t="shared" si="4"/>
        <v>1</v>
      </c>
      <c r="I14" s="305">
        <f t="shared" si="4"/>
        <v>1</v>
      </c>
      <c r="J14" s="305">
        <f t="shared" si="4"/>
        <v>1</v>
      </c>
      <c r="K14" s="306">
        <f>SUM(K7:K13)</f>
        <v>8</v>
      </c>
      <c r="L14" s="306">
        <f>SUM(L7:L13)</f>
        <v>1</v>
      </c>
      <c r="M14" s="91"/>
      <c r="N14" s="118"/>
      <c r="P14" s="69"/>
      <c r="Q14" s="85"/>
      <c r="R14" s="85"/>
      <c r="S14" s="85"/>
      <c r="T14" s="85"/>
      <c r="U14" s="85"/>
      <c r="V14" s="85"/>
      <c r="W14" s="85"/>
      <c r="X14" s="85"/>
    </row>
    <row r="15" spans="2:24" s="4" customFormat="1" ht="16.5" customHeight="1" x14ac:dyDescent="0.3">
      <c r="C15" s="77"/>
      <c r="D15" s="77"/>
      <c r="E15" s="77"/>
      <c r="F15" s="77"/>
      <c r="G15" s="77"/>
      <c r="H15" s="77"/>
      <c r="I15" s="77"/>
      <c r="M15" s="58"/>
      <c r="P15" s="69"/>
      <c r="Q15" s="85"/>
      <c r="R15" s="85"/>
      <c r="S15" s="85"/>
      <c r="T15" s="85"/>
      <c r="U15" s="85"/>
      <c r="V15" s="85"/>
      <c r="W15" s="85"/>
      <c r="X15" s="85"/>
    </row>
    <row r="16" spans="2:24" ht="24" customHeight="1" x14ac:dyDescent="0.3">
      <c r="B16" s="507" t="s">
        <v>127</v>
      </c>
      <c r="C16" s="507"/>
      <c r="D16" s="507"/>
      <c r="E16" s="507"/>
      <c r="F16" s="507"/>
      <c r="G16" s="507"/>
      <c r="H16" s="507"/>
      <c r="I16" s="507"/>
      <c r="J16" s="54"/>
      <c r="K16" s="54"/>
      <c r="L16" s="57"/>
      <c r="M16" s="57"/>
      <c r="N16" s="58"/>
      <c r="O16" s="58"/>
      <c r="P16" s="58"/>
    </row>
    <row r="17" spans="2:16" x14ac:dyDescent="0.3">
      <c r="B17" s="293" t="s">
        <v>57</v>
      </c>
      <c r="C17" s="293" t="s">
        <v>177</v>
      </c>
      <c r="D17" s="294" t="s">
        <v>264</v>
      </c>
      <c r="E17" s="293" t="s">
        <v>34</v>
      </c>
      <c r="F17" s="293" t="s">
        <v>32</v>
      </c>
      <c r="G17" s="508" t="s">
        <v>262</v>
      </c>
      <c r="H17" s="509"/>
      <c r="I17" s="510"/>
      <c r="J17" s="45"/>
      <c r="K17" s="59"/>
      <c r="L17" s="57"/>
      <c r="M17" s="57"/>
      <c r="N17" s="58"/>
      <c r="O17" s="58"/>
      <c r="P17" s="58"/>
    </row>
    <row r="18" spans="2:16" x14ac:dyDescent="0.3">
      <c r="B18" s="119" t="s">
        <v>105</v>
      </c>
      <c r="C18" s="120">
        <f>'Estrutura de apoio'!$G$15</f>
        <v>0</v>
      </c>
      <c r="D18" s="121" t="s">
        <v>263</v>
      </c>
      <c r="E18" s="122">
        <f>'Dados Gerais do Município'!D16</f>
        <v>8</v>
      </c>
      <c r="F18" s="120">
        <f>C18*E18</f>
        <v>0</v>
      </c>
      <c r="G18" s="503"/>
      <c r="H18" s="503"/>
      <c r="I18" s="503"/>
      <c r="J18" s="45"/>
      <c r="K18" s="420" t="s">
        <v>210</v>
      </c>
      <c r="L18" s="54"/>
      <c r="M18" s="54"/>
      <c r="N18" s="54"/>
      <c r="O18" s="54"/>
      <c r="P18" s="54"/>
    </row>
    <row r="19" spans="2:16" x14ac:dyDescent="0.3">
      <c r="B19" s="119" t="s">
        <v>106</v>
      </c>
      <c r="C19" s="120">
        <f>IF(D19='Equipe Técnica Permanente'!H20,'Equipe Técnica Permanente'!H21,'Equipe Técnica Permanente'!I21)</f>
        <v>0</v>
      </c>
      <c r="D19" s="121" t="s">
        <v>280</v>
      </c>
      <c r="E19" s="122">
        <f>'Dados Gerais do Município'!D16</f>
        <v>8</v>
      </c>
      <c r="F19" s="120">
        <f>C19*E19</f>
        <v>0</v>
      </c>
      <c r="G19" s="503" t="s">
        <v>294</v>
      </c>
      <c r="H19" s="503"/>
      <c r="I19" s="503"/>
      <c r="J19" s="45"/>
      <c r="K19" s="421" t="s">
        <v>280</v>
      </c>
      <c r="L19" s="46"/>
      <c r="M19" s="46"/>
    </row>
    <row r="20" spans="2:16" x14ac:dyDescent="0.3">
      <c r="B20" s="295" t="s">
        <v>173</v>
      </c>
      <c r="C20" s="296">
        <f>SUM(C18:C19)</f>
        <v>0</v>
      </c>
      <c r="D20" s="302" t="s">
        <v>172</v>
      </c>
      <c r="E20" s="303">
        <f>SUM(F18:F19)</f>
        <v>0</v>
      </c>
      <c r="F20" s="123"/>
      <c r="G20" s="123"/>
      <c r="H20" s="123"/>
      <c r="I20" s="123"/>
      <c r="J20" s="56"/>
      <c r="K20" s="46"/>
      <c r="L20" s="46"/>
      <c r="M20" s="46"/>
    </row>
    <row r="21" spans="2:16" ht="16.5" customHeight="1" x14ac:dyDescent="0.3">
      <c r="B21" s="32"/>
      <c r="C21" s="46"/>
      <c r="D21" s="46"/>
      <c r="E21" s="46"/>
      <c r="F21" s="46"/>
      <c r="G21" s="46"/>
      <c r="H21" s="46"/>
      <c r="I21" s="50"/>
      <c r="J21" s="50"/>
      <c r="K21" s="46"/>
      <c r="L21" s="46"/>
      <c r="M21" s="46"/>
    </row>
    <row r="22" spans="2:16" ht="18" x14ac:dyDescent="0.3">
      <c r="B22" s="507" t="s">
        <v>176</v>
      </c>
      <c r="C22" s="507"/>
      <c r="D22" s="507"/>
      <c r="E22" s="507"/>
      <c r="F22" s="507"/>
      <c r="G22" s="507"/>
      <c r="H22" s="507"/>
      <c r="I22" s="507"/>
      <c r="J22" s="507"/>
      <c r="K22" s="507"/>
      <c r="L22" s="507"/>
      <c r="M22" s="46"/>
    </row>
    <row r="23" spans="2:16" x14ac:dyDescent="0.3">
      <c r="B23" s="293" t="s">
        <v>45</v>
      </c>
      <c r="C23" s="293" t="s">
        <v>17</v>
      </c>
      <c r="D23" s="293" t="s">
        <v>18</v>
      </c>
      <c r="E23" s="293" t="s">
        <v>19</v>
      </c>
      <c r="F23" s="293" t="s">
        <v>20</v>
      </c>
      <c r="G23" s="293" t="s">
        <v>21</v>
      </c>
      <c r="H23" s="293" t="s">
        <v>22</v>
      </c>
      <c r="I23" s="293" t="s">
        <v>23</v>
      </c>
      <c r="J23" s="293" t="s">
        <v>24</v>
      </c>
      <c r="K23" s="294" t="s">
        <v>43</v>
      </c>
      <c r="L23" s="293" t="s">
        <v>44</v>
      </c>
      <c r="M23" s="46"/>
    </row>
    <row r="24" spans="2:16" x14ac:dyDescent="0.3">
      <c r="B24" s="117" t="s">
        <v>46</v>
      </c>
      <c r="C24" s="298">
        <f>C7*$C$20</f>
        <v>0</v>
      </c>
      <c r="D24" s="124"/>
      <c r="E24" s="124"/>
      <c r="F24" s="124"/>
      <c r="G24" s="124"/>
      <c r="H24" s="124"/>
      <c r="I24" s="124"/>
      <c r="J24" s="124"/>
      <c r="K24" s="297">
        <f t="shared" ref="K24:K31" si="5">SUM(C24:J24)</f>
        <v>0</v>
      </c>
      <c r="L24" s="299" t="e">
        <f>K24/$K$31</f>
        <v>#DIV/0!</v>
      </c>
      <c r="M24" s="46"/>
    </row>
    <row r="25" spans="2:16" x14ac:dyDescent="0.3">
      <c r="B25" s="117" t="s">
        <v>47</v>
      </c>
      <c r="C25" s="298">
        <f>C8*$C$20</f>
        <v>0</v>
      </c>
      <c r="D25" s="313">
        <f>D8*$C$20</f>
        <v>0</v>
      </c>
      <c r="E25" s="124"/>
      <c r="F25" s="124"/>
      <c r="G25" s="124"/>
      <c r="H25" s="124"/>
      <c r="I25" s="124"/>
      <c r="J25" s="124"/>
      <c r="K25" s="297">
        <f t="shared" si="5"/>
        <v>0</v>
      </c>
      <c r="L25" s="299" t="e">
        <f t="shared" ref="L25:L30" si="6">K25/$K$31</f>
        <v>#DIV/0!</v>
      </c>
      <c r="M25" s="46"/>
    </row>
    <row r="26" spans="2:16" x14ac:dyDescent="0.3">
      <c r="B26" s="117" t="s">
        <v>48</v>
      </c>
      <c r="C26" s="298">
        <f>C9*$C$20</f>
        <v>0</v>
      </c>
      <c r="D26" s="313">
        <f>D9*$C$20</f>
        <v>0</v>
      </c>
      <c r="E26" s="313">
        <f>E9*$C$20</f>
        <v>0</v>
      </c>
      <c r="F26" s="313">
        <f>F9*$C$20</f>
        <v>0</v>
      </c>
      <c r="G26" s="125"/>
      <c r="H26" s="125"/>
      <c r="I26" s="125"/>
      <c r="J26" s="125"/>
      <c r="K26" s="297">
        <f t="shared" si="5"/>
        <v>0</v>
      </c>
      <c r="L26" s="299" t="e">
        <f t="shared" si="6"/>
        <v>#DIV/0!</v>
      </c>
      <c r="M26" s="46"/>
    </row>
    <row r="27" spans="2:16" x14ac:dyDescent="0.3">
      <c r="B27" s="117" t="s">
        <v>49</v>
      </c>
      <c r="C27" s="126"/>
      <c r="D27" s="127"/>
      <c r="E27" s="127"/>
      <c r="F27" s="313">
        <f>F10*$C$20</f>
        <v>0</v>
      </c>
      <c r="G27" s="313">
        <f>G10*$C$20</f>
        <v>0</v>
      </c>
      <c r="H27" s="125"/>
      <c r="I27" s="125"/>
      <c r="J27" s="125"/>
      <c r="K27" s="297">
        <f t="shared" si="5"/>
        <v>0</v>
      </c>
      <c r="L27" s="299" t="e">
        <f t="shared" si="6"/>
        <v>#DIV/0!</v>
      </c>
      <c r="M27" s="46"/>
    </row>
    <row r="28" spans="2:16" x14ac:dyDescent="0.3">
      <c r="B28" s="117" t="s">
        <v>50</v>
      </c>
      <c r="C28" s="126"/>
      <c r="D28" s="127"/>
      <c r="E28" s="127"/>
      <c r="F28" s="127"/>
      <c r="G28" s="313">
        <f t="shared" ref="G28:J29" si="7">G11*$C$20</f>
        <v>0</v>
      </c>
      <c r="H28" s="313">
        <f t="shared" si="7"/>
        <v>0</v>
      </c>
      <c r="I28" s="313">
        <f t="shared" si="7"/>
        <v>0</v>
      </c>
      <c r="J28" s="313">
        <f t="shared" si="7"/>
        <v>0</v>
      </c>
      <c r="K28" s="297">
        <f t="shared" si="5"/>
        <v>0</v>
      </c>
      <c r="L28" s="299" t="e">
        <f t="shared" si="6"/>
        <v>#DIV/0!</v>
      </c>
      <c r="M28" s="46"/>
    </row>
    <row r="29" spans="2:16" x14ac:dyDescent="0.3">
      <c r="B29" s="117" t="s">
        <v>51</v>
      </c>
      <c r="C29" s="126"/>
      <c r="D29" s="127"/>
      <c r="E29" s="127"/>
      <c r="F29" s="127"/>
      <c r="G29" s="313">
        <f t="shared" si="7"/>
        <v>0</v>
      </c>
      <c r="H29" s="313">
        <f t="shared" si="7"/>
        <v>0</v>
      </c>
      <c r="I29" s="313">
        <f t="shared" si="7"/>
        <v>0</v>
      </c>
      <c r="J29" s="313">
        <f t="shared" si="7"/>
        <v>0</v>
      </c>
      <c r="K29" s="297">
        <f t="shared" si="5"/>
        <v>0</v>
      </c>
      <c r="L29" s="299" t="e">
        <f t="shared" si="6"/>
        <v>#DIV/0!</v>
      </c>
      <c r="M29" s="46"/>
    </row>
    <row r="30" spans="2:16" ht="17.25" thickBot="1" x14ac:dyDescent="0.35">
      <c r="B30" s="117" t="s">
        <v>52</v>
      </c>
      <c r="C30" s="126"/>
      <c r="D30" s="127"/>
      <c r="E30" s="127"/>
      <c r="F30" s="127"/>
      <c r="G30" s="127"/>
      <c r="H30" s="127"/>
      <c r="I30" s="313">
        <f>I13*$C$20</f>
        <v>0</v>
      </c>
      <c r="J30" s="313">
        <f>J13*$C$20</f>
        <v>0</v>
      </c>
      <c r="K30" s="297">
        <f t="shared" si="5"/>
        <v>0</v>
      </c>
      <c r="L30" s="299" t="e">
        <f t="shared" si="6"/>
        <v>#DIV/0!</v>
      </c>
      <c r="M30" s="46"/>
    </row>
    <row r="31" spans="2:16" ht="17.25" thickBot="1" x14ac:dyDescent="0.35">
      <c r="B31" s="309" t="s">
        <v>32</v>
      </c>
      <c r="C31" s="310">
        <f>SUM(C24:C30)</f>
        <v>0</v>
      </c>
      <c r="D31" s="310">
        <f t="shared" ref="D31:J31" si="8">SUM(D24:D30)</f>
        <v>0</v>
      </c>
      <c r="E31" s="310">
        <f t="shared" si="8"/>
        <v>0</v>
      </c>
      <c r="F31" s="310">
        <f t="shared" si="8"/>
        <v>0</v>
      </c>
      <c r="G31" s="310">
        <f t="shared" si="8"/>
        <v>0</v>
      </c>
      <c r="H31" s="310">
        <f t="shared" si="8"/>
        <v>0</v>
      </c>
      <c r="I31" s="310">
        <f t="shared" si="8"/>
        <v>0</v>
      </c>
      <c r="J31" s="310">
        <f t="shared" si="8"/>
        <v>0</v>
      </c>
      <c r="K31" s="311">
        <f t="shared" si="5"/>
        <v>0</v>
      </c>
      <c r="L31" s="312" t="e">
        <f>K31/$K$31</f>
        <v>#DIV/0!</v>
      </c>
      <c r="M31" s="46"/>
    </row>
    <row r="32" spans="2:16" ht="16.5" customHeight="1" x14ac:dyDescent="0.3">
      <c r="M32" s="46"/>
    </row>
    <row r="33" spans="13:13" x14ac:dyDescent="0.3">
      <c r="M33" s="46"/>
    </row>
    <row r="34" spans="13:13" x14ac:dyDescent="0.3">
      <c r="M34" s="46"/>
    </row>
    <row r="35" spans="13:13" x14ac:dyDescent="0.3">
      <c r="M35" s="46"/>
    </row>
    <row r="36" spans="13:13" x14ac:dyDescent="0.3">
      <c r="M36" s="46"/>
    </row>
    <row r="37" spans="13:13" x14ac:dyDescent="0.3">
      <c r="M37" s="46"/>
    </row>
    <row r="38" spans="13:13" x14ac:dyDescent="0.3">
      <c r="M38" s="46"/>
    </row>
    <row r="39" spans="13:13" x14ac:dyDescent="0.3">
      <c r="M39" s="46"/>
    </row>
    <row r="40" spans="13:13" x14ac:dyDescent="0.3">
      <c r="M40" s="46"/>
    </row>
  </sheetData>
  <mergeCells count="8">
    <mergeCell ref="B2:N2"/>
    <mergeCell ref="B3:N3"/>
    <mergeCell ref="G18:I18"/>
    <mergeCell ref="B5:N5"/>
    <mergeCell ref="B22:L22"/>
    <mergeCell ref="G19:I19"/>
    <mergeCell ref="G17:I17"/>
    <mergeCell ref="B16:I16"/>
  </mergeCells>
  <phoneticPr fontId="8" type="noConversion"/>
  <dataValidations count="2">
    <dataValidation type="list" allowBlank="1" showInputMessage="1" showErrorMessage="1" sqref="D18">
      <formula1>#REF!</formula1>
    </dataValidation>
    <dataValidation type="list" allowBlank="1" showInputMessage="1" showErrorMessage="1" sqref="D19">
      <formula1>$K$18:$K$19</formula1>
    </dataValidation>
  </dataValidations>
  <pageMargins left="0.15748031496062992" right="0.15748031496062992" top="0.78740157480314965" bottom="0.78740157480314965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22"/>
  <sheetViews>
    <sheetView view="pageBreakPreview" topLeftCell="A6" zoomScaleNormal="85" zoomScaleSheetLayoutView="100" workbookViewId="0">
      <selection activeCell="K15" sqref="K15"/>
    </sheetView>
  </sheetViews>
  <sheetFormatPr defaultRowHeight="12.75" x14ac:dyDescent="0.2"/>
  <cols>
    <col min="1" max="1" width="9.140625" style="20"/>
    <col min="2" max="2" width="8.7109375" style="20" customWidth="1"/>
    <col min="3" max="3" width="6.7109375" style="19" customWidth="1"/>
    <col min="4" max="4" width="70.85546875" style="20" customWidth="1"/>
    <col min="5" max="5" width="13.7109375" style="20" bestFit="1" customWidth="1"/>
    <col min="6" max="6" width="17" style="19" customWidth="1"/>
    <col min="7" max="7" width="16.85546875" style="20" customWidth="1"/>
    <col min="8" max="8" width="20.7109375" style="20" customWidth="1"/>
    <col min="9" max="9" width="8.7109375" style="21" customWidth="1"/>
    <col min="10" max="12" width="15.7109375" style="20" customWidth="1"/>
    <col min="13" max="16384" width="9.140625" style="20"/>
  </cols>
  <sheetData>
    <row r="1" spans="3:12" ht="16.5" customHeight="1" x14ac:dyDescent="0.2">
      <c r="C1" s="74"/>
      <c r="F1" s="74"/>
    </row>
    <row r="2" spans="3:12" ht="60" customHeight="1" x14ac:dyDescent="0.8">
      <c r="C2" s="484" t="str">
        <f>CONCATENATE("Custos de 1 Evento Setorial com Mobilização Social - Município de ",'Dados Gerais do Município'!D8)</f>
        <v>Custos de 1 Evento Setorial com Mobilização Social - Município de Exemplo</v>
      </c>
      <c r="D2" s="485"/>
      <c r="E2" s="485"/>
      <c r="F2" s="485"/>
      <c r="G2" s="485"/>
      <c r="H2" s="486"/>
      <c r="K2" s="65"/>
      <c r="L2" s="65"/>
    </row>
    <row r="3" spans="3:12" ht="42" customHeight="1" x14ac:dyDescent="0.2">
      <c r="C3" s="513" t="s">
        <v>425</v>
      </c>
      <c r="D3" s="514"/>
      <c r="E3" s="514"/>
      <c r="F3" s="514"/>
      <c r="G3" s="514"/>
      <c r="H3" s="515"/>
    </row>
    <row r="4" spans="3:12" ht="23.25" customHeight="1" x14ac:dyDescent="0.2">
      <c r="C4" s="513" t="s">
        <v>426</v>
      </c>
      <c r="D4" s="514"/>
      <c r="E4" s="514"/>
      <c r="F4" s="514"/>
      <c r="G4" s="514"/>
      <c r="H4" s="515"/>
    </row>
    <row r="5" spans="3:12" ht="37.5" customHeight="1" x14ac:dyDescent="0.2">
      <c r="C5" s="516" t="s">
        <v>427</v>
      </c>
      <c r="D5" s="517"/>
      <c r="E5" s="517"/>
      <c r="F5" s="517"/>
      <c r="G5" s="517"/>
      <c r="H5" s="518"/>
    </row>
    <row r="6" spans="3:12" ht="16.5" customHeight="1" x14ac:dyDescent="0.2"/>
    <row r="7" spans="3:12" s="17" customFormat="1" ht="31.5" x14ac:dyDescent="0.25">
      <c r="C7" s="272">
        <v>1</v>
      </c>
      <c r="D7" s="273" t="s">
        <v>28</v>
      </c>
      <c r="E7" s="273" t="s">
        <v>5</v>
      </c>
      <c r="F7" s="273" t="s">
        <v>31</v>
      </c>
      <c r="G7" s="315" t="s">
        <v>30</v>
      </c>
      <c r="H7" s="316" t="s">
        <v>4</v>
      </c>
      <c r="I7" s="21"/>
    </row>
    <row r="8" spans="3:12" s="8" customFormat="1" ht="20.100000000000001" customHeight="1" x14ac:dyDescent="0.25">
      <c r="C8" s="275" t="s">
        <v>9</v>
      </c>
      <c r="D8" s="128" t="s">
        <v>219</v>
      </c>
      <c r="E8" s="109" t="s">
        <v>5</v>
      </c>
      <c r="F8" s="140"/>
      <c r="G8" s="107"/>
      <c r="H8" s="317">
        <f t="shared" ref="H8:H17" si="0">F8*G8</f>
        <v>0</v>
      </c>
      <c r="I8" s="21"/>
    </row>
    <row r="9" spans="3:12" s="8" customFormat="1" ht="20.100000000000001" customHeight="1" x14ac:dyDescent="0.25">
      <c r="C9" s="275" t="s">
        <v>10</v>
      </c>
      <c r="D9" s="128" t="s">
        <v>220</v>
      </c>
      <c r="E9" s="109" t="s">
        <v>5</v>
      </c>
      <c r="F9" s="140"/>
      <c r="G9" s="107"/>
      <c r="H9" s="317">
        <f t="shared" si="0"/>
        <v>0</v>
      </c>
      <c r="I9" s="21"/>
    </row>
    <row r="10" spans="3:12" s="8" customFormat="1" ht="30" x14ac:dyDescent="0.25">
      <c r="C10" s="275" t="s">
        <v>0</v>
      </c>
      <c r="D10" s="129" t="s">
        <v>221</v>
      </c>
      <c r="E10" s="130" t="s">
        <v>222</v>
      </c>
      <c r="F10" s="140"/>
      <c r="G10" s="107"/>
      <c r="H10" s="317">
        <f t="shared" si="0"/>
        <v>0</v>
      </c>
      <c r="I10" s="21"/>
    </row>
    <row r="11" spans="3:12" s="8" customFormat="1" ht="30" x14ac:dyDescent="0.25">
      <c r="C11" s="275" t="s">
        <v>1</v>
      </c>
      <c r="D11" s="131" t="s">
        <v>223</v>
      </c>
      <c r="E11" s="109" t="s">
        <v>5</v>
      </c>
      <c r="F11" s="140"/>
      <c r="G11" s="132"/>
      <c r="H11" s="318">
        <f>F11*G11</f>
        <v>0</v>
      </c>
      <c r="I11" s="21"/>
    </row>
    <row r="12" spans="3:12" s="8" customFormat="1" ht="20.100000000000001" customHeight="1" x14ac:dyDescent="0.25">
      <c r="C12" s="275" t="s">
        <v>11</v>
      </c>
      <c r="D12" s="128" t="s">
        <v>224</v>
      </c>
      <c r="E12" s="109" t="s">
        <v>225</v>
      </c>
      <c r="F12" s="140"/>
      <c r="G12" s="107"/>
      <c r="H12" s="317">
        <f t="shared" si="0"/>
        <v>0</v>
      </c>
      <c r="I12" s="21"/>
    </row>
    <row r="13" spans="3:12" s="8" customFormat="1" ht="20.100000000000001" customHeight="1" x14ac:dyDescent="0.25">
      <c r="C13" s="275" t="s">
        <v>12</v>
      </c>
      <c r="D13" s="128" t="s">
        <v>226</v>
      </c>
      <c r="E13" s="109" t="s">
        <v>5</v>
      </c>
      <c r="F13" s="140"/>
      <c r="G13" s="107"/>
      <c r="H13" s="317">
        <f t="shared" ref="H13" si="1">F13*G13</f>
        <v>0</v>
      </c>
      <c r="I13" s="21"/>
    </row>
    <row r="14" spans="3:12" s="8" customFormat="1" ht="21" customHeight="1" x14ac:dyDescent="0.25">
      <c r="C14" s="323"/>
      <c r="D14" s="324" t="s">
        <v>32</v>
      </c>
      <c r="E14" s="325"/>
      <c r="F14" s="325"/>
      <c r="G14" s="325"/>
      <c r="H14" s="326">
        <f>SUM(H8:H13)</f>
        <v>0</v>
      </c>
      <c r="I14" s="21"/>
    </row>
    <row r="15" spans="3:12" s="17" customFormat="1" ht="31.5" x14ac:dyDescent="0.25">
      <c r="C15" s="272">
        <v>2</v>
      </c>
      <c r="D15" s="273" t="s">
        <v>188</v>
      </c>
      <c r="E15" s="273" t="s">
        <v>5</v>
      </c>
      <c r="F15" s="273" t="s">
        <v>31</v>
      </c>
      <c r="G15" s="315" t="s">
        <v>30</v>
      </c>
      <c r="H15" s="316" t="s">
        <v>4</v>
      </c>
      <c r="I15" s="21"/>
    </row>
    <row r="16" spans="3:12" s="8" customFormat="1" ht="23.25" customHeight="1" x14ac:dyDescent="0.25">
      <c r="C16" s="275" t="s">
        <v>8</v>
      </c>
      <c r="D16" s="131" t="s">
        <v>227</v>
      </c>
      <c r="E16" s="130" t="s">
        <v>7</v>
      </c>
      <c r="F16" s="140"/>
      <c r="G16" s="132"/>
      <c r="H16" s="318">
        <f t="shared" si="0"/>
        <v>0</v>
      </c>
      <c r="I16" s="23"/>
    </row>
    <row r="17" spans="3:9" s="8" customFormat="1" ht="23.25" customHeight="1" x14ac:dyDescent="0.25">
      <c r="C17" s="275" t="s">
        <v>13</v>
      </c>
      <c r="D17" s="131" t="s">
        <v>228</v>
      </c>
      <c r="E17" s="130" t="s">
        <v>7</v>
      </c>
      <c r="F17" s="140"/>
      <c r="G17" s="132"/>
      <c r="H17" s="318">
        <f t="shared" si="0"/>
        <v>0</v>
      </c>
      <c r="I17" s="23"/>
    </row>
    <row r="18" spans="3:9" s="8" customFormat="1" ht="38.25" customHeight="1" x14ac:dyDescent="0.25">
      <c r="C18" s="275" t="s">
        <v>14</v>
      </c>
      <c r="D18" s="139" t="s">
        <v>230</v>
      </c>
      <c r="E18" s="140" t="s">
        <v>7</v>
      </c>
      <c r="F18" s="140"/>
      <c r="G18" s="132"/>
      <c r="H18" s="318">
        <f t="shared" ref="H18" si="2">F18*G18</f>
        <v>0</v>
      </c>
      <c r="I18" s="23"/>
    </row>
    <row r="19" spans="3:9" s="8" customFormat="1" ht="21" customHeight="1" x14ac:dyDescent="0.25">
      <c r="C19" s="323"/>
      <c r="D19" s="327" t="s">
        <v>32</v>
      </c>
      <c r="E19" s="328"/>
      <c r="F19" s="328"/>
      <c r="G19" s="328"/>
      <c r="H19" s="329">
        <f>SUM(H16:H18)</f>
        <v>0</v>
      </c>
      <c r="I19" s="23"/>
    </row>
    <row r="20" spans="3:9" s="22" customFormat="1" ht="16.5" customHeight="1" x14ac:dyDescent="0.25">
      <c r="C20" s="103"/>
      <c r="D20" s="103"/>
      <c r="E20" s="103"/>
      <c r="F20" s="103"/>
      <c r="G20" s="103"/>
      <c r="H20" s="103"/>
      <c r="I20" s="23"/>
    </row>
    <row r="21" spans="3:9" ht="28.5" customHeight="1" x14ac:dyDescent="0.2">
      <c r="C21" s="511" t="s">
        <v>187</v>
      </c>
      <c r="D21" s="512"/>
      <c r="E21" s="512"/>
      <c r="F21" s="512"/>
      <c r="G21" s="512"/>
      <c r="H21" s="330">
        <f>H19+H14</f>
        <v>0</v>
      </c>
      <c r="I21" s="23"/>
    </row>
    <row r="22" spans="3:9" ht="16.5" customHeight="1" x14ac:dyDescent="0.2">
      <c r="C22" s="22"/>
      <c r="D22" s="25"/>
      <c r="E22" s="25"/>
      <c r="F22" s="8"/>
      <c r="G22" s="24"/>
      <c r="H22" s="24"/>
      <c r="I22" s="23"/>
    </row>
  </sheetData>
  <mergeCells count="5">
    <mergeCell ref="C21:G21"/>
    <mergeCell ref="C2:H2"/>
    <mergeCell ref="C3:H3"/>
    <mergeCell ref="C4:H4"/>
    <mergeCell ref="C5:H5"/>
  </mergeCells>
  <phoneticPr fontId="8" type="noConversion"/>
  <printOptions horizontalCentered="1"/>
  <pageMargins left="0.51181102362204722" right="0.51181102362204722" top="0.59055118110236227" bottom="0.59055118110236227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2"/>
  <sheetViews>
    <sheetView view="pageBreakPreview" zoomScale="85" zoomScaleNormal="100" zoomScaleSheetLayoutView="85" workbookViewId="0">
      <selection activeCell="G21" sqref="G21"/>
    </sheetView>
  </sheetViews>
  <sheetFormatPr defaultRowHeight="12.75" x14ac:dyDescent="0.2"/>
  <cols>
    <col min="1" max="1" width="8.7109375" style="20" customWidth="1"/>
    <col min="2" max="2" width="6.7109375" style="19" customWidth="1"/>
    <col min="3" max="3" width="71.28515625" style="20" customWidth="1"/>
    <col min="4" max="4" width="13.7109375" style="20" bestFit="1" customWidth="1"/>
    <col min="5" max="5" width="16.140625" style="19" customWidth="1"/>
    <col min="6" max="6" width="18.5703125" style="20" customWidth="1"/>
    <col min="7" max="7" width="18.7109375" style="20" customWidth="1"/>
    <col min="8" max="8" width="8.7109375" style="20" customWidth="1"/>
    <col min="9" max="9" width="15.7109375" style="20" customWidth="1"/>
    <col min="10" max="16384" width="9.140625" style="20"/>
  </cols>
  <sheetData>
    <row r="1" spans="2:7" ht="16.5" customHeight="1" x14ac:dyDescent="0.2"/>
    <row r="2" spans="2:7" ht="33" customHeight="1" x14ac:dyDescent="0.2">
      <c r="B2" s="484" t="str">
        <f>CONCATENATE("Custos de 1 Audiência Municipal - Município de ",'Dados Gerais do Município'!$D$8)</f>
        <v>Custos de 1 Audiência Municipal - Município de Exemplo</v>
      </c>
      <c r="C2" s="485"/>
      <c r="D2" s="485"/>
      <c r="E2" s="485"/>
      <c r="F2" s="485"/>
      <c r="G2" s="486"/>
    </row>
    <row r="3" spans="2:7" ht="39.75" customHeight="1" x14ac:dyDescent="0.2">
      <c r="B3" s="513" t="s">
        <v>434</v>
      </c>
      <c r="C3" s="514"/>
      <c r="D3" s="514"/>
      <c r="E3" s="514"/>
      <c r="F3" s="514"/>
      <c r="G3" s="515"/>
    </row>
    <row r="4" spans="2:7" ht="21.75" customHeight="1" x14ac:dyDescent="0.2">
      <c r="B4" s="516" t="s">
        <v>435</v>
      </c>
      <c r="C4" s="517"/>
      <c r="D4" s="517"/>
      <c r="E4" s="517"/>
      <c r="F4" s="517"/>
      <c r="G4" s="518"/>
    </row>
    <row r="5" spans="2:7" ht="16.5" customHeight="1" x14ac:dyDescent="0.2"/>
    <row r="6" spans="2:7" ht="31.5" customHeight="1" x14ac:dyDescent="0.2">
      <c r="B6" s="519" t="s">
        <v>304</v>
      </c>
      <c r="C6" s="487"/>
      <c r="D6" s="487"/>
      <c r="E6" s="487"/>
      <c r="F6" s="487"/>
      <c r="G6" s="345">
        <f>'Dados Gerais do Município'!D15</f>
        <v>0</v>
      </c>
    </row>
    <row r="7" spans="2:7" s="17" customFormat="1" ht="33" customHeight="1" x14ac:dyDescent="0.25">
      <c r="B7" s="346">
        <v>1</v>
      </c>
      <c r="C7" s="242" t="s">
        <v>28</v>
      </c>
      <c r="D7" s="242" t="s">
        <v>5</v>
      </c>
      <c r="E7" s="242" t="s">
        <v>31</v>
      </c>
      <c r="F7" s="242" t="s">
        <v>30</v>
      </c>
      <c r="G7" s="347" t="s">
        <v>4</v>
      </c>
    </row>
    <row r="8" spans="2:7" s="8" customFormat="1" ht="20.100000000000001" customHeight="1" x14ac:dyDescent="0.25">
      <c r="B8" s="275" t="s">
        <v>9</v>
      </c>
      <c r="C8" s="128" t="s">
        <v>219</v>
      </c>
      <c r="D8" s="109" t="s">
        <v>5</v>
      </c>
      <c r="E8" s="140"/>
      <c r="F8" s="107"/>
      <c r="G8" s="317">
        <f t="shared" ref="G8:G18" si="0">E8*F8</f>
        <v>0</v>
      </c>
    </row>
    <row r="9" spans="2:7" s="8" customFormat="1" ht="20.100000000000001" customHeight="1" x14ac:dyDescent="0.25">
      <c r="B9" s="275" t="s">
        <v>10</v>
      </c>
      <c r="C9" s="128" t="s">
        <v>220</v>
      </c>
      <c r="D9" s="109" t="s">
        <v>5</v>
      </c>
      <c r="E9" s="140"/>
      <c r="F9" s="107"/>
      <c r="G9" s="317">
        <f t="shared" si="0"/>
        <v>0</v>
      </c>
    </row>
    <row r="10" spans="2:7" s="8" customFormat="1" ht="18" customHeight="1" x14ac:dyDescent="0.25">
      <c r="B10" s="275" t="s">
        <v>0</v>
      </c>
      <c r="C10" s="129" t="s">
        <v>221</v>
      </c>
      <c r="D10" s="109" t="s">
        <v>5</v>
      </c>
      <c r="E10" s="140"/>
      <c r="F10" s="107"/>
      <c r="G10" s="317">
        <f t="shared" si="0"/>
        <v>0</v>
      </c>
    </row>
    <row r="11" spans="2:7" s="8" customFormat="1" ht="36.75" customHeight="1" x14ac:dyDescent="0.25">
      <c r="B11" s="275" t="s">
        <v>1</v>
      </c>
      <c r="C11" s="131" t="s">
        <v>223</v>
      </c>
      <c r="D11" s="109" t="s">
        <v>5</v>
      </c>
      <c r="E11" s="140"/>
      <c r="F11" s="132"/>
      <c r="G11" s="318">
        <f>E11*F11</f>
        <v>0</v>
      </c>
    </row>
    <row r="12" spans="2:7" s="8" customFormat="1" ht="20.100000000000001" customHeight="1" x14ac:dyDescent="0.25">
      <c r="B12" s="275" t="s">
        <v>11</v>
      </c>
      <c r="C12" s="128" t="s">
        <v>224</v>
      </c>
      <c r="D12" s="109" t="s">
        <v>291</v>
      </c>
      <c r="E12" s="140"/>
      <c r="F12" s="107"/>
      <c r="G12" s="317">
        <f t="shared" si="0"/>
        <v>0</v>
      </c>
    </row>
    <row r="13" spans="2:7" s="8" customFormat="1" ht="20.100000000000001" customHeight="1" x14ac:dyDescent="0.25">
      <c r="B13" s="275" t="s">
        <v>12</v>
      </c>
      <c r="C13" s="128" t="s">
        <v>226</v>
      </c>
      <c r="D13" s="109" t="s">
        <v>5</v>
      </c>
      <c r="E13" s="140"/>
      <c r="F13" s="107"/>
      <c r="G13" s="317">
        <f t="shared" si="0"/>
        <v>0</v>
      </c>
    </row>
    <row r="14" spans="2:7" s="8" customFormat="1" ht="21" customHeight="1" x14ac:dyDescent="0.25">
      <c r="B14" s="319"/>
      <c r="C14" s="520" t="s">
        <v>32</v>
      </c>
      <c r="D14" s="520"/>
      <c r="E14" s="520"/>
      <c r="F14" s="520"/>
      <c r="G14" s="348">
        <f>SUM(G8:G13)</f>
        <v>0</v>
      </c>
    </row>
    <row r="15" spans="2:7" s="17" customFormat="1" ht="33" customHeight="1" x14ac:dyDescent="0.25">
      <c r="B15" s="272">
        <v>2</v>
      </c>
      <c r="C15" s="273" t="s">
        <v>158</v>
      </c>
      <c r="D15" s="273" t="s">
        <v>5</v>
      </c>
      <c r="E15" s="273" t="s">
        <v>31</v>
      </c>
      <c r="F15" s="315" t="s">
        <v>30</v>
      </c>
      <c r="G15" s="316" t="s">
        <v>4</v>
      </c>
    </row>
    <row r="16" spans="2:7" s="8" customFormat="1" ht="23.25" customHeight="1" x14ac:dyDescent="0.25">
      <c r="B16" s="275" t="s">
        <v>8</v>
      </c>
      <c r="C16" s="131" t="s">
        <v>227</v>
      </c>
      <c r="D16" s="130" t="s">
        <v>5</v>
      </c>
      <c r="E16" s="140"/>
      <c r="F16" s="132"/>
      <c r="G16" s="318">
        <f t="shared" si="0"/>
        <v>0</v>
      </c>
    </row>
    <row r="17" spans="2:7" s="8" customFormat="1" ht="23.25" customHeight="1" x14ac:dyDescent="0.25">
      <c r="B17" s="275" t="s">
        <v>13</v>
      </c>
      <c r="C17" s="131" t="s">
        <v>228</v>
      </c>
      <c r="D17" s="130" t="s">
        <v>5</v>
      </c>
      <c r="E17" s="140"/>
      <c r="F17" s="132"/>
      <c r="G17" s="318">
        <f t="shared" si="0"/>
        <v>0</v>
      </c>
    </row>
    <row r="18" spans="2:7" s="8" customFormat="1" ht="30" x14ac:dyDescent="0.25">
      <c r="B18" s="275" t="s">
        <v>14</v>
      </c>
      <c r="C18" s="131" t="s">
        <v>229</v>
      </c>
      <c r="D18" s="130" t="s">
        <v>5</v>
      </c>
      <c r="E18" s="140"/>
      <c r="F18" s="132"/>
      <c r="G18" s="318">
        <f t="shared" si="0"/>
        <v>0</v>
      </c>
    </row>
    <row r="19" spans="2:7" s="8" customFormat="1" ht="21" customHeight="1" x14ac:dyDescent="0.25">
      <c r="B19" s="323"/>
      <c r="C19" s="521" t="s">
        <v>32</v>
      </c>
      <c r="D19" s="521"/>
      <c r="E19" s="521"/>
      <c r="F19" s="521"/>
      <c r="G19" s="426">
        <f>SUM(G16:G18)</f>
        <v>0</v>
      </c>
    </row>
    <row r="20" spans="2:7" s="22" customFormat="1" ht="16.5" customHeight="1" x14ac:dyDescent="0.25">
      <c r="B20" s="103"/>
      <c r="C20" s="103"/>
      <c r="D20" s="103"/>
      <c r="E20" s="103"/>
      <c r="F20" s="103"/>
      <c r="G20" s="103"/>
    </row>
    <row r="21" spans="2:7" ht="25.5" customHeight="1" x14ac:dyDescent="0.2">
      <c r="B21" s="511" t="s">
        <v>305</v>
      </c>
      <c r="C21" s="512"/>
      <c r="D21" s="512"/>
      <c r="E21" s="512"/>
      <c r="F21" s="512"/>
      <c r="G21" s="330">
        <f>G19+G14</f>
        <v>0</v>
      </c>
    </row>
    <row r="22" spans="2:7" ht="16.5" customHeight="1" x14ac:dyDescent="0.2">
      <c r="B22" s="22"/>
      <c r="C22" s="25"/>
      <c r="D22" s="25"/>
      <c r="E22" s="8"/>
      <c r="F22" s="24"/>
      <c r="G22" s="24"/>
    </row>
  </sheetData>
  <mergeCells count="7">
    <mergeCell ref="B21:F21"/>
    <mergeCell ref="B2:G2"/>
    <mergeCell ref="B6:F6"/>
    <mergeCell ref="B3:G3"/>
    <mergeCell ref="B4:G4"/>
    <mergeCell ref="C14:F14"/>
    <mergeCell ref="C19:F19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8"/>
  <sheetViews>
    <sheetView topLeftCell="A10" zoomScale="85" zoomScaleNormal="85" workbookViewId="0">
      <selection activeCell="L18" sqref="L18"/>
    </sheetView>
  </sheetViews>
  <sheetFormatPr defaultRowHeight="16.5" x14ac:dyDescent="0.3"/>
  <cols>
    <col min="1" max="1" width="9.140625" style="6"/>
    <col min="2" max="2" width="6.7109375" style="5" customWidth="1"/>
    <col min="3" max="3" width="48.42578125" style="6" customWidth="1"/>
    <col min="4" max="4" width="21.85546875" style="6" customWidth="1"/>
    <col min="5" max="5" width="26.7109375" style="6" customWidth="1"/>
    <col min="6" max="6" width="18.28515625" style="5" customWidth="1"/>
    <col min="7" max="8" width="19.42578125" style="5" customWidth="1"/>
    <col min="9" max="9" width="14.42578125" style="6" customWidth="1"/>
    <col min="10" max="10" width="14.140625" style="6" customWidth="1"/>
    <col min="11" max="11" width="27.42578125" style="6" customWidth="1"/>
    <col min="12" max="12" width="18.85546875" style="6" bestFit="1" customWidth="1"/>
    <col min="13" max="13" width="9.140625" style="6"/>
    <col min="14" max="14" width="9.140625" style="6" customWidth="1"/>
    <col min="15" max="16384" width="9.140625" style="6"/>
  </cols>
  <sheetData>
    <row r="2" spans="2:14" ht="18" x14ac:dyDescent="0.3">
      <c r="B2" s="497" t="str">
        <f>CONCATENATE("Custos Totais com Equipe Técnica Eventual - Município de ",'Dados Gerais do Município'!D8)</f>
        <v>Custos Totais com Equipe Técnica Eventual - Município de Exemplo</v>
      </c>
      <c r="C2" s="498"/>
      <c r="D2" s="498"/>
      <c r="E2" s="498"/>
      <c r="F2" s="498"/>
      <c r="G2" s="498"/>
      <c r="H2" s="498"/>
      <c r="I2" s="498"/>
      <c r="J2" s="498"/>
      <c r="K2" s="498"/>
      <c r="L2" s="499"/>
    </row>
    <row r="3" spans="2:14" ht="28.5" customHeight="1" x14ac:dyDescent="0.3">
      <c r="B3" s="524" t="s">
        <v>428</v>
      </c>
      <c r="C3" s="525"/>
      <c r="D3" s="525"/>
      <c r="E3" s="525"/>
      <c r="F3" s="525"/>
      <c r="G3" s="525"/>
      <c r="H3" s="525"/>
      <c r="I3" s="525"/>
      <c r="J3" s="525"/>
      <c r="K3" s="525"/>
      <c r="L3" s="526"/>
    </row>
    <row r="4" spans="2:14" ht="28.5" customHeight="1" x14ac:dyDescent="0.3">
      <c r="B4" s="524" t="s">
        <v>429</v>
      </c>
      <c r="C4" s="525"/>
      <c r="D4" s="525"/>
      <c r="E4" s="525"/>
      <c r="F4" s="525"/>
      <c r="G4" s="525"/>
      <c r="H4" s="525"/>
      <c r="I4" s="525"/>
      <c r="J4" s="525"/>
      <c r="K4" s="525"/>
      <c r="L4" s="526"/>
    </row>
    <row r="5" spans="2:14" ht="31.5" customHeight="1" x14ac:dyDescent="0.3">
      <c r="B5" s="494" t="s">
        <v>430</v>
      </c>
      <c r="C5" s="495"/>
      <c r="D5" s="495"/>
      <c r="E5" s="495"/>
      <c r="F5" s="495"/>
      <c r="G5" s="495"/>
      <c r="H5" s="495"/>
      <c r="I5" s="495"/>
      <c r="J5" s="495"/>
      <c r="K5" s="495"/>
      <c r="L5" s="496"/>
    </row>
    <row r="6" spans="2:14" ht="15.75" customHeight="1" x14ac:dyDescent="0.3">
      <c r="C6" s="5"/>
      <c r="D6" s="5"/>
      <c r="E6" s="5"/>
    </row>
    <row r="7" spans="2:14" s="70" customFormat="1" ht="47.25" x14ac:dyDescent="0.25">
      <c r="B7" s="332">
        <v>1</v>
      </c>
      <c r="C7" s="273" t="s">
        <v>35</v>
      </c>
      <c r="D7" s="273" t="s">
        <v>183</v>
      </c>
      <c r="E7" s="273" t="s">
        <v>180</v>
      </c>
      <c r="F7" s="273" t="s">
        <v>165</v>
      </c>
      <c r="G7" s="273" t="s">
        <v>184</v>
      </c>
      <c r="H7" s="273" t="s">
        <v>178</v>
      </c>
      <c r="I7" s="487" t="s">
        <v>179</v>
      </c>
      <c r="J7" s="487"/>
      <c r="K7" s="273" t="s">
        <v>190</v>
      </c>
      <c r="L7" s="333" t="s">
        <v>4</v>
      </c>
    </row>
    <row r="8" spans="2:14" s="8" customFormat="1" ht="62.25" customHeight="1" x14ac:dyDescent="0.25">
      <c r="B8" s="275" t="s">
        <v>9</v>
      </c>
      <c r="C8" s="108" t="s">
        <v>295</v>
      </c>
      <c r="D8" s="140"/>
      <c r="E8" s="130"/>
      <c r="F8" s="105"/>
      <c r="G8" s="140"/>
      <c r="H8" s="140"/>
      <c r="I8" s="106" t="s">
        <v>25</v>
      </c>
      <c r="J8" s="107"/>
      <c r="K8" s="331" t="str">
        <f>IF(E8="mensalista",F8*J8*(1+#REF!),IF(E8="horista",F8*J8*(1+#REF!),"Preencher com o termo Horista ou Mensalista a Coluna D"))</f>
        <v>Preencher com o termo Horista ou Mensalista a Coluna D</v>
      </c>
      <c r="L8" s="334" t="e">
        <f>G8*K8</f>
        <v>#VALUE!</v>
      </c>
      <c r="N8" s="75" t="s">
        <v>181</v>
      </c>
    </row>
    <row r="9" spans="2:14" s="8" customFormat="1" ht="60" customHeight="1" x14ac:dyDescent="0.25">
      <c r="B9" s="275" t="s">
        <v>10</v>
      </c>
      <c r="C9" s="108" t="s">
        <v>296</v>
      </c>
      <c r="D9" s="140"/>
      <c r="E9" s="130"/>
      <c r="F9" s="105"/>
      <c r="G9" s="140"/>
      <c r="H9" s="140"/>
      <c r="I9" s="106" t="s">
        <v>289</v>
      </c>
      <c r="J9" s="107"/>
      <c r="K9" s="331" t="str">
        <f>IF(E9="mensalista",F9*J9*(1+#REF!),IF(E9="horista",F9*J9*(1+#REF!),"Preencher com o termo Horista ou Mensalista a Coluna D"))</f>
        <v>Preencher com o termo Horista ou Mensalista a Coluna D</v>
      </c>
      <c r="L9" s="335" t="e">
        <f t="shared" ref="L9:L16" si="0">G9*K9</f>
        <v>#VALUE!</v>
      </c>
      <c r="N9" s="75" t="s">
        <v>182</v>
      </c>
    </row>
    <row r="10" spans="2:14" s="8" customFormat="1" ht="55.5" customHeight="1" x14ac:dyDescent="0.25">
      <c r="B10" s="275" t="s">
        <v>0</v>
      </c>
      <c r="C10" s="108" t="s">
        <v>297</v>
      </c>
      <c r="D10" s="140"/>
      <c r="E10" s="130"/>
      <c r="F10" s="105"/>
      <c r="G10" s="140"/>
      <c r="H10" s="140"/>
      <c r="I10" s="106" t="s">
        <v>25</v>
      </c>
      <c r="J10" s="107"/>
      <c r="K10" s="331" t="str">
        <f>IF(E10="mensalista",F10*J10*(1+#REF!),IF(E10="horista",F10*J10*(1+#REF!),"Preencher com o termo Horista ou Mensalista a Coluna D"))</f>
        <v>Preencher com o termo Horista ou Mensalista a Coluna D</v>
      </c>
      <c r="L10" s="335" t="e">
        <f t="shared" si="0"/>
        <v>#VALUE!</v>
      </c>
    </row>
    <row r="11" spans="2:14" s="8" customFormat="1" ht="58.5" customHeight="1" x14ac:dyDescent="0.25">
      <c r="B11" s="275" t="s">
        <v>1</v>
      </c>
      <c r="C11" s="133" t="s">
        <v>298</v>
      </c>
      <c r="D11" s="140"/>
      <c r="E11" s="130"/>
      <c r="F11" s="105"/>
      <c r="G11" s="140"/>
      <c r="H11" s="140"/>
      <c r="I11" s="106" t="s">
        <v>25</v>
      </c>
      <c r="J11" s="107"/>
      <c r="K11" s="331" t="str">
        <f>IF(E11="mensalista",F11*J11*(1+#REF!),IF(E11="horista",F11*J11*(1+#REF!),"Preencher com o termo Horista ou Mensalista a Coluna D"))</f>
        <v>Preencher com o termo Horista ou Mensalista a Coluna D</v>
      </c>
      <c r="L11" s="335" t="e">
        <f t="shared" si="0"/>
        <v>#VALUE!</v>
      </c>
    </row>
    <row r="12" spans="2:14" s="8" customFormat="1" ht="45" customHeight="1" x14ac:dyDescent="0.25">
      <c r="B12" s="275" t="s">
        <v>11</v>
      </c>
      <c r="C12" s="134" t="s">
        <v>299</v>
      </c>
      <c r="D12" s="140"/>
      <c r="E12" s="130"/>
      <c r="F12" s="105"/>
      <c r="G12" s="140"/>
      <c r="H12" s="140"/>
      <c r="I12" s="106" t="s">
        <v>290</v>
      </c>
      <c r="J12" s="107"/>
      <c r="K12" s="331" t="str">
        <f>IF(E12="mensalista",F12*J12*(1+#REF!),IF(E12="horista",F12*J12*(1+#REF!),"Preencher com o termo Horista ou Mensalista a Coluna D"))</f>
        <v>Preencher com o termo Horista ou Mensalista a Coluna D</v>
      </c>
      <c r="L12" s="335" t="e">
        <f t="shared" si="0"/>
        <v>#VALUE!</v>
      </c>
    </row>
    <row r="13" spans="2:14" s="8" customFormat="1" ht="46.5" customHeight="1" x14ac:dyDescent="0.25">
      <c r="B13" s="275" t="s">
        <v>12</v>
      </c>
      <c r="C13" s="134" t="s">
        <v>300</v>
      </c>
      <c r="D13" s="140"/>
      <c r="E13" s="130"/>
      <c r="F13" s="105"/>
      <c r="G13" s="140"/>
      <c r="H13" s="140"/>
      <c r="I13" s="106" t="s">
        <v>25</v>
      </c>
      <c r="J13" s="107"/>
      <c r="K13" s="331" t="str">
        <f>IF(E13="mensalista",F13*J13*(1+#REF!),IF(E13="horista",F13*J13*(1+#REF!),"Preencher com o termo Horista ou Mensalista a Coluna D"))</f>
        <v>Preencher com o termo Horista ou Mensalista a Coluna D</v>
      </c>
      <c r="L13" s="335" t="e">
        <f t="shared" si="0"/>
        <v>#VALUE!</v>
      </c>
    </row>
    <row r="14" spans="2:14" ht="50.25" customHeight="1" x14ac:dyDescent="0.3">
      <c r="B14" s="275" t="s">
        <v>137</v>
      </c>
      <c r="C14" s="134" t="s">
        <v>301</v>
      </c>
      <c r="D14" s="95"/>
      <c r="E14" s="130"/>
      <c r="F14" s="105"/>
      <c r="G14" s="95"/>
      <c r="H14" s="140"/>
      <c r="I14" s="106" t="s">
        <v>25</v>
      </c>
      <c r="J14" s="107"/>
      <c r="K14" s="331" t="str">
        <f>IF(E14="mensalista",F14*J14*(1+#REF!),IF(E14="horista",F14*J14*(1+#REF!),"Preencher com o termo Horista ou Mensalista a Coluna D"))</f>
        <v>Preencher com o termo Horista ou Mensalista a Coluna D</v>
      </c>
      <c r="L14" s="335" t="e">
        <f t="shared" si="0"/>
        <v>#VALUE!</v>
      </c>
    </row>
    <row r="15" spans="2:14" ht="55.5" customHeight="1" x14ac:dyDescent="0.3">
      <c r="B15" s="275" t="s">
        <v>138</v>
      </c>
      <c r="C15" s="134" t="s">
        <v>302</v>
      </c>
      <c r="D15" s="95"/>
      <c r="E15" s="130"/>
      <c r="F15" s="105"/>
      <c r="G15" s="95"/>
      <c r="H15" s="140"/>
      <c r="I15" s="106" t="s">
        <v>25</v>
      </c>
      <c r="J15" s="107"/>
      <c r="K15" s="331" t="str">
        <f>IF(E15="mensalista",F15*J15*(1+#REF!),IF(E15="horista",F15*J15*(1+#REF!),"Preencher com o termo Horista ou Mensalista a Coluna D"))</f>
        <v>Preencher com o termo Horista ou Mensalista a Coluna D</v>
      </c>
      <c r="L15" s="335" t="e">
        <f t="shared" si="0"/>
        <v>#VALUE!</v>
      </c>
    </row>
    <row r="16" spans="2:14" ht="61.5" x14ac:dyDescent="0.3">
      <c r="B16" s="319" t="s">
        <v>139</v>
      </c>
      <c r="C16" s="336" t="s">
        <v>303</v>
      </c>
      <c r="D16" s="337"/>
      <c r="E16" s="338"/>
      <c r="F16" s="339"/>
      <c r="G16" s="337"/>
      <c r="H16" s="321"/>
      <c r="I16" s="340" t="s">
        <v>25</v>
      </c>
      <c r="J16" s="322"/>
      <c r="K16" s="341" t="str">
        <f>IF(E16="mensalista",F16*J16*(1+#REF!),IF(E16="horista",F16*J16*(1+#REF!),"Preencher com o termo Horista ou Mensalista a Coluna D"))</f>
        <v>Preencher com o termo Horista ou Mensalista a Coluna D</v>
      </c>
      <c r="L16" s="342" t="e">
        <f t="shared" si="0"/>
        <v>#VALUE!</v>
      </c>
    </row>
    <row r="17" spans="2:12" x14ac:dyDescent="0.3">
      <c r="B17" s="103"/>
      <c r="C17" s="134"/>
      <c r="D17" s="134"/>
      <c r="E17" s="135"/>
      <c r="F17" s="130"/>
      <c r="G17" s="130"/>
      <c r="H17" s="136"/>
      <c r="I17" s="106"/>
      <c r="J17" s="107"/>
      <c r="K17" s="137"/>
      <c r="L17" s="138"/>
    </row>
    <row r="18" spans="2:12" ht="43.5" customHeight="1" x14ac:dyDescent="0.3">
      <c r="B18" s="522" t="s">
        <v>145</v>
      </c>
      <c r="C18" s="523"/>
      <c r="D18" s="523"/>
      <c r="E18" s="523"/>
      <c r="F18" s="523"/>
      <c r="G18" s="523"/>
      <c r="H18" s="523"/>
      <c r="I18" s="523"/>
      <c r="J18" s="523"/>
      <c r="K18" s="523"/>
      <c r="L18" s="330" t="e">
        <f>SUM(L8:L16)</f>
        <v>#VALUE!</v>
      </c>
    </row>
  </sheetData>
  <mergeCells count="6">
    <mergeCell ref="I7:J7"/>
    <mergeCell ref="B2:L2"/>
    <mergeCell ref="B18:K18"/>
    <mergeCell ref="B3:L3"/>
    <mergeCell ref="B4:L4"/>
    <mergeCell ref="B5:L5"/>
  </mergeCells>
  <dataValidations disablePrompts="1" count="1">
    <dataValidation type="list" allowBlank="1" showInputMessage="1" showErrorMessage="1" sqref="E8:E16">
      <formula1>$N$8:$N$9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8.7109375" style="20" customWidth="1"/>
    <col min="2" max="2" width="6.7109375" style="19" customWidth="1"/>
    <col min="3" max="3" width="70.85546875" style="20" customWidth="1"/>
    <col min="4" max="4" width="15.5703125" style="20" customWidth="1"/>
    <col min="5" max="5" width="7.85546875" style="19" customWidth="1"/>
    <col min="6" max="6" width="8.7109375" style="19" customWidth="1"/>
    <col min="7" max="7" width="18.7109375" style="20" customWidth="1"/>
    <col min="8" max="8" width="18.140625" style="20" customWidth="1"/>
    <col min="9" max="9" width="8.7109375" style="21" customWidth="1"/>
    <col min="10" max="10" width="8.7109375" style="20" customWidth="1"/>
    <col min="11" max="13" width="15.7109375" style="20" customWidth="1"/>
    <col min="14" max="16384" width="9.140625" style="20"/>
  </cols>
  <sheetData>
    <row r="1" spans="2:9" ht="16.5" customHeight="1" x14ac:dyDescent="0.2">
      <c r="B1" s="74"/>
      <c r="E1" s="74"/>
      <c r="F1" s="74"/>
    </row>
    <row r="2" spans="2:9" ht="47.25" customHeight="1" x14ac:dyDescent="0.2">
      <c r="B2" s="484" t="str">
        <f>CONCATENATE("Custo Adicional para 1 Evento em Localidade Remota com Acesso Terrestre - Município de ",'Dados Gerais do Município'!D8)</f>
        <v>Custo Adicional para 1 Evento em Localidade Remota com Acesso Terrestre - Município de Exemplo</v>
      </c>
      <c r="C2" s="485"/>
      <c r="D2" s="485"/>
      <c r="E2" s="485"/>
      <c r="F2" s="485"/>
      <c r="G2" s="485"/>
      <c r="H2" s="486"/>
    </row>
    <row r="3" spans="2:9" ht="22.5" customHeight="1" x14ac:dyDescent="0.2">
      <c r="B3" s="528" t="s">
        <v>432</v>
      </c>
      <c r="C3" s="529"/>
      <c r="D3" s="529"/>
      <c r="E3" s="529"/>
      <c r="F3" s="529"/>
      <c r="G3" s="529"/>
      <c r="H3" s="530"/>
    </row>
    <row r="4" spans="2:9" ht="19.5" customHeight="1" x14ac:dyDescent="0.2">
      <c r="B4" s="531" t="s">
        <v>431</v>
      </c>
      <c r="C4" s="532"/>
      <c r="D4" s="532"/>
      <c r="E4" s="532"/>
      <c r="F4" s="532"/>
      <c r="G4" s="532"/>
      <c r="H4" s="533"/>
    </row>
    <row r="5" spans="2:9" ht="16.5" customHeight="1" x14ac:dyDescent="0.2"/>
    <row r="6" spans="2:9" ht="15.75" hidden="1" customHeight="1" x14ac:dyDescent="0.2"/>
    <row r="7" spans="2:9" s="17" customFormat="1" ht="31.5" x14ac:dyDescent="0.25">
      <c r="B7" s="272">
        <v>1</v>
      </c>
      <c r="C7" s="273" t="s">
        <v>38</v>
      </c>
      <c r="D7" s="273" t="s">
        <v>5</v>
      </c>
      <c r="E7" s="487" t="s">
        <v>31</v>
      </c>
      <c r="F7" s="487"/>
      <c r="G7" s="315" t="s">
        <v>30</v>
      </c>
      <c r="H7" s="316" t="s">
        <v>4</v>
      </c>
      <c r="I7" s="21"/>
    </row>
    <row r="8" spans="2:9" ht="15" x14ac:dyDescent="0.2">
      <c r="B8" s="275" t="s">
        <v>9</v>
      </c>
      <c r="C8" s="128" t="s">
        <v>39</v>
      </c>
      <c r="D8" s="130" t="s">
        <v>107</v>
      </c>
      <c r="E8" s="527"/>
      <c r="F8" s="527"/>
      <c r="G8" s="107"/>
      <c r="H8" s="317">
        <f>ROUND(E8*G8,2)</f>
        <v>0</v>
      </c>
      <c r="I8" s="23"/>
    </row>
    <row r="9" spans="2:9" ht="30" x14ac:dyDescent="0.2">
      <c r="B9" s="275" t="s">
        <v>10</v>
      </c>
      <c r="C9" s="128" t="s">
        <v>40</v>
      </c>
      <c r="D9" s="130" t="s">
        <v>41</v>
      </c>
      <c r="E9" s="140"/>
      <c r="F9" s="140"/>
      <c r="G9" s="107"/>
      <c r="H9" s="317">
        <f>ROUND(E9*G9*F9,2)</f>
        <v>0</v>
      </c>
      <c r="I9" s="23"/>
    </row>
    <row r="10" spans="2:9" ht="16.5" customHeight="1" x14ac:dyDescent="0.2">
      <c r="B10" s="275" t="s">
        <v>0</v>
      </c>
      <c r="C10" s="128" t="s">
        <v>193</v>
      </c>
      <c r="D10" s="130" t="s">
        <v>29</v>
      </c>
      <c r="E10" s="527"/>
      <c r="F10" s="527"/>
      <c r="G10" s="107"/>
      <c r="H10" s="317">
        <f>ROUND(E10*G10,2)</f>
        <v>0</v>
      </c>
      <c r="I10" s="23"/>
    </row>
    <row r="11" spans="2:9" ht="15.75" x14ac:dyDescent="0.25">
      <c r="B11" s="343"/>
      <c r="C11" s="520" t="s">
        <v>32</v>
      </c>
      <c r="D11" s="520"/>
      <c r="E11" s="520"/>
      <c r="F11" s="520"/>
      <c r="G11" s="520"/>
      <c r="H11" s="344">
        <f>SUM(H8:H10)</f>
        <v>0</v>
      </c>
    </row>
    <row r="12" spans="2:9" ht="16.5" customHeight="1" x14ac:dyDescent="0.2">
      <c r="B12" s="92"/>
      <c r="C12" s="91"/>
      <c r="D12" s="91"/>
      <c r="E12" s="92"/>
      <c r="F12" s="92"/>
      <c r="G12" s="91"/>
      <c r="H12" s="91"/>
    </row>
    <row r="13" spans="2:9" ht="23.25" customHeight="1" x14ac:dyDescent="0.2">
      <c r="B13" s="511" t="s">
        <v>189</v>
      </c>
      <c r="C13" s="512"/>
      <c r="D13" s="512"/>
      <c r="E13" s="512"/>
      <c r="F13" s="512"/>
      <c r="G13" s="512"/>
      <c r="H13" s="330">
        <f>H11</f>
        <v>0</v>
      </c>
    </row>
    <row r="14" spans="2:9" ht="16.5" customHeight="1" x14ac:dyDescent="0.2"/>
  </sheetData>
  <mergeCells count="8">
    <mergeCell ref="B2:H2"/>
    <mergeCell ref="B13:G13"/>
    <mergeCell ref="E7:F7"/>
    <mergeCell ref="E8:F8"/>
    <mergeCell ref="E10:F10"/>
    <mergeCell ref="B3:H3"/>
    <mergeCell ref="B4:H4"/>
    <mergeCell ref="C11:G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30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16</vt:i4>
      </vt:variant>
    </vt:vector>
  </HeadingPairs>
  <TitlesOfParts>
    <vt:vector size="47" baseType="lpstr">
      <vt:lpstr>Dados Gerais do Município</vt:lpstr>
      <vt:lpstr>Encargos sociais</vt:lpstr>
      <vt:lpstr>Equipe Técnica Permanente</vt:lpstr>
      <vt:lpstr>Estrutura de apoio</vt:lpstr>
      <vt:lpstr>Distribuição Custos FIXOS</vt:lpstr>
      <vt:lpstr>Mobil. e Participação Social</vt:lpstr>
      <vt:lpstr>Audiência Municipal</vt:lpstr>
      <vt:lpstr>Equipe Técnica Eventual</vt:lpstr>
      <vt:lpstr>Deslocamento Terrestre</vt:lpstr>
      <vt:lpstr>Deslocamento Hidroviário</vt:lpstr>
      <vt:lpstr>PA</vt:lpstr>
      <vt:lpstr>PB</vt:lpstr>
      <vt:lpstr>PC</vt:lpstr>
      <vt:lpstr>PD</vt:lpstr>
      <vt:lpstr>PE</vt:lpstr>
      <vt:lpstr>PF</vt:lpstr>
      <vt:lpstr>PG</vt:lpstr>
      <vt:lpstr>PH</vt:lpstr>
      <vt:lpstr>PI</vt:lpstr>
      <vt:lpstr>PJ</vt:lpstr>
      <vt:lpstr>PK</vt:lpstr>
      <vt:lpstr>BDI</vt:lpstr>
      <vt:lpstr>Distribuição Custos Variáveis</vt:lpstr>
      <vt:lpstr>Resumo Final</vt:lpstr>
      <vt:lpstr>Cronograma Fis Fin</vt:lpstr>
      <vt:lpstr>Curva ABC</vt:lpstr>
      <vt:lpstr>Comp Prod 2012 x 2018 Geral</vt:lpstr>
      <vt:lpstr>Comparativo Produtos em Lista</vt:lpstr>
      <vt:lpstr>Comp Prod 2012 x 2018</vt:lpstr>
      <vt:lpstr>Planilha1</vt:lpstr>
      <vt:lpstr>Curva ABC Graf</vt:lpstr>
      <vt:lpstr>'Audiência Municipal'!Area_de_impressao</vt:lpstr>
      <vt:lpstr>BDI!Area_de_impressao</vt:lpstr>
      <vt:lpstr>'Comparativo Produtos em Lista'!Area_de_impressao</vt:lpstr>
      <vt:lpstr>'Cronograma Fis Fin'!Area_de_impressao</vt:lpstr>
      <vt:lpstr>'Curva ABC'!Area_de_impressao</vt:lpstr>
      <vt:lpstr>'Dados Gerais do Município'!Area_de_impressao</vt:lpstr>
      <vt:lpstr>'Deslocamento Hidroviário'!Area_de_impressao</vt:lpstr>
      <vt:lpstr>'Deslocamento Terrestre'!Area_de_impressao</vt:lpstr>
      <vt:lpstr>'Distribuição Custos FIXOS'!Area_de_impressao</vt:lpstr>
      <vt:lpstr>'Distribuição Custos Variáveis'!Area_de_impressao</vt:lpstr>
      <vt:lpstr>'Encargos sociais'!Area_de_impressao</vt:lpstr>
      <vt:lpstr>'Equipe Técnica Eventual'!Area_de_impressao</vt:lpstr>
      <vt:lpstr>'Equipe Técnica Permanente'!Area_de_impressao</vt:lpstr>
      <vt:lpstr>'Estrutura de apoio'!Area_de_impressao</vt:lpstr>
      <vt:lpstr>'Mobil. e Participação Social'!Area_de_impressao</vt:lpstr>
      <vt:lpstr>PA!Area_de_impressao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Michelle Rodrigues Correia</cp:lastModifiedBy>
  <cp:lastPrinted>2018-06-27T21:27:05Z</cp:lastPrinted>
  <dcterms:created xsi:type="dcterms:W3CDTF">2010-02-26T08:53:18Z</dcterms:created>
  <dcterms:modified xsi:type="dcterms:W3CDTF">2020-02-28T19:15:17Z</dcterms:modified>
</cp:coreProperties>
</file>