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31" windowWidth="19860" windowHeight="6735" tabRatio="776" activeTab="1"/>
  </bookViews>
  <sheets>
    <sheet name="MemCalc2Q" sheetId="1" r:id="rId1"/>
    <sheet name="CASA 2Q" sheetId="2" r:id="rId2"/>
    <sheet name="Placa de obra" sheetId="3" r:id="rId3"/>
    <sheet name="LDI - BDI" sheetId="4" r:id="rId4"/>
    <sheet name="Cronograma 2Q" sheetId="5" r:id="rId5"/>
  </sheets>
  <externalReferences>
    <externalReference r:id="rId8"/>
    <externalReference r:id="rId9"/>
    <externalReference r:id="rId10"/>
    <externalReference r:id="rId11"/>
    <externalReference r:id="rId12"/>
  </externalReferences>
  <definedNames>
    <definedName name="A" localSheetId="1">#REF!</definedName>
    <definedName name="A" localSheetId="4">#REF!</definedName>
    <definedName name="A" localSheetId="3">#REF!</definedName>
    <definedName name="A" localSheetId="2">#REF!</definedName>
    <definedName name="A">#REF!</definedName>
    <definedName name="acumulado" localSheetId="1">#REF!</definedName>
    <definedName name="acumulado" localSheetId="4">#REF!</definedName>
    <definedName name="acumulado">#REF!</definedName>
    <definedName name="_xlnm.Print_Area" localSheetId="1">'CASA 2Q'!$B$1:$H$148</definedName>
    <definedName name="_xlnm.Print_Area" localSheetId="4">'Cronograma 2Q'!$B$2:$J$58</definedName>
    <definedName name="_xlnm.Print_Area" localSheetId="3">'LDI - BDI'!$A$1:$H$46</definedName>
    <definedName name="_xlnm.Print_Area" localSheetId="0">'MemCalc2Q'!$B$1:$M$118</definedName>
    <definedName name="_xlnm.Print_Area" localSheetId="2">'Placa de obra'!$B$2:$M$65</definedName>
    <definedName name="B" localSheetId="1">#REF!</definedName>
    <definedName name="B" localSheetId="4">#REF!</definedName>
    <definedName name="B" localSheetId="3">#REF!</definedName>
    <definedName name="B" localSheetId="2">#REF!</definedName>
    <definedName name="B">#REF!</definedName>
    <definedName name="BDI" localSheetId="1">#REF!</definedName>
    <definedName name="BDI" localSheetId="4">#REF!</definedName>
    <definedName name="BDI" localSheetId="3">#REF!</definedName>
    <definedName name="BDI" localSheetId="2">#REF!</definedName>
    <definedName name="BDI">#REF!</definedName>
    <definedName name="cris" localSheetId="4">#REF!</definedName>
    <definedName name="cris">#REF!</definedName>
    <definedName name="cronograma2" localSheetId="1">#REF!</definedName>
    <definedName name="cronograma2" localSheetId="4">#REF!</definedName>
    <definedName name="cronograma2">#REF!</definedName>
    <definedName name="cronograma21" localSheetId="1">#REF!</definedName>
    <definedName name="cronograma21" localSheetId="4">#REF!</definedName>
    <definedName name="cronograma21">#REF!</definedName>
    <definedName name="D" localSheetId="1">#REF!</definedName>
    <definedName name="D" localSheetId="4">#REF!</definedName>
    <definedName name="D" localSheetId="3">#REF!</definedName>
    <definedName name="D" localSheetId="2">#REF!</definedName>
    <definedName name="D">#REF!</definedName>
    <definedName name="E" localSheetId="1">#REF!</definedName>
    <definedName name="E" localSheetId="4">#REF!</definedName>
    <definedName name="E" localSheetId="3">#REF!</definedName>
    <definedName name="E" localSheetId="2">#REF!</definedName>
    <definedName name="E">#REF!</definedName>
    <definedName name="F" localSheetId="1">#REF!</definedName>
    <definedName name="F" localSheetId="4">#REF!</definedName>
    <definedName name="F" localSheetId="3">#REF!</definedName>
    <definedName name="F" localSheetId="2">#REF!</definedName>
    <definedName name="F">#REF!</definedName>
    <definedName name="G" localSheetId="1">#REF!</definedName>
    <definedName name="G" localSheetId="4">#REF!</definedName>
    <definedName name="G" localSheetId="3">#REF!</definedName>
    <definedName name="G" localSheetId="2">#REF!</definedName>
    <definedName name="G">#REF!</definedName>
    <definedName name="H" localSheetId="1">#REF!</definedName>
    <definedName name="H" localSheetId="4">#REF!</definedName>
    <definedName name="H" localSheetId="3">#REF!</definedName>
    <definedName name="H" localSheetId="2">#REF!</definedName>
    <definedName name="H">#REF!</definedName>
    <definedName name="i" localSheetId="1">#REF!</definedName>
    <definedName name="i" localSheetId="4">#REF!</definedName>
    <definedName name="i" localSheetId="3">#REF!</definedName>
    <definedName name="i" localSheetId="2">#REF!</definedName>
    <definedName name="i">#REF!</definedName>
    <definedName name="J" localSheetId="1">#REF!</definedName>
    <definedName name="J" localSheetId="4">#REF!</definedName>
    <definedName name="J" localSheetId="3">#REF!</definedName>
    <definedName name="J" localSheetId="2">#REF!</definedName>
    <definedName name="J">#REF!</definedName>
    <definedName name="k" localSheetId="1">#REF!</definedName>
    <definedName name="k" localSheetId="4">#REF!</definedName>
    <definedName name="k" localSheetId="3">#REF!</definedName>
    <definedName name="k" localSheetId="2">#REF!</definedName>
    <definedName name="k">#REF!</definedName>
    <definedName name="m" localSheetId="1">#REF!</definedName>
    <definedName name="m" localSheetId="4">#REF!</definedName>
    <definedName name="m" localSheetId="3">#REF!</definedName>
    <definedName name="m" localSheetId="2">#REF!</definedName>
    <definedName name="m">#REF!</definedName>
    <definedName name="o" localSheetId="1">#REF!</definedName>
    <definedName name="o" localSheetId="4">#REF!</definedName>
    <definedName name="o" localSheetId="3">#REF!</definedName>
    <definedName name="o" localSheetId="2">#REF!</definedName>
    <definedName name="o">#REF!</definedName>
    <definedName name="P" localSheetId="1">#REF!</definedName>
    <definedName name="P" localSheetId="4">#REF!</definedName>
    <definedName name="P" localSheetId="3">#REF!</definedName>
    <definedName name="P" localSheetId="2">#REF!</definedName>
    <definedName name="P">#REF!</definedName>
    <definedName name="plan4Q" localSheetId="1">#REF!</definedName>
    <definedName name="plan4Q" localSheetId="4">#REF!</definedName>
    <definedName name="plan4Q" localSheetId="3">#REF!</definedName>
    <definedName name="plan4Q" localSheetId="2">#REF!</definedName>
    <definedName name="plan4Q">#REF!</definedName>
    <definedName name="planquatroQ" localSheetId="1">#REF!</definedName>
    <definedName name="planquatroQ" localSheetId="4">#REF!</definedName>
    <definedName name="planquatroQ" localSheetId="3">#REF!</definedName>
    <definedName name="planquatroQ" localSheetId="2">#REF!</definedName>
    <definedName name="planquatroQ">#REF!</definedName>
    <definedName name="Q" localSheetId="1">#REF!</definedName>
    <definedName name="Q" localSheetId="4">#REF!</definedName>
    <definedName name="Q" localSheetId="3">#REF!</definedName>
    <definedName name="Q" localSheetId="2">#REF!</definedName>
    <definedName name="Q">#REF!</definedName>
    <definedName name="T" localSheetId="1">#REF!</definedName>
    <definedName name="T" localSheetId="4">#REF!</definedName>
    <definedName name="T" localSheetId="3">#REF!</definedName>
    <definedName name="T" localSheetId="2">#REF!</definedName>
    <definedName name="T">#REF!</definedName>
    <definedName name="u" localSheetId="1">#REF!</definedName>
    <definedName name="u" localSheetId="4">#REF!</definedName>
    <definedName name="u" localSheetId="3">#REF!</definedName>
    <definedName name="u" localSheetId="2">#REF!</definedName>
    <definedName name="u">#REF!</definedName>
    <definedName name="W" localSheetId="1">#REF!</definedName>
    <definedName name="W" localSheetId="4">#REF!</definedName>
    <definedName name="W" localSheetId="3">#REF!</definedName>
    <definedName name="W" localSheetId="2">#REF!</definedName>
    <definedName name="W">#REF!</definedName>
    <definedName name="we" localSheetId="1">#REF!</definedName>
    <definedName name="we" localSheetId="4">#REF!</definedName>
    <definedName name="we" localSheetId="3">#REF!</definedName>
    <definedName name="we" localSheetId="2">#REF!</definedName>
    <definedName name="we">#REF!</definedName>
    <definedName name="wq" localSheetId="1">#REF!</definedName>
    <definedName name="wq" localSheetId="4">#REF!</definedName>
    <definedName name="wq" localSheetId="3">#REF!</definedName>
    <definedName name="wq" localSheetId="2">#REF!</definedName>
    <definedName name="wq">#REF!</definedName>
    <definedName name="x" localSheetId="1">#REF!</definedName>
    <definedName name="x" localSheetId="4">#REF!</definedName>
    <definedName name="x" localSheetId="3">#REF!</definedName>
    <definedName name="x" localSheetId="2">#REF!</definedName>
    <definedName name="x">#REF!</definedName>
    <definedName name="xixi" localSheetId="4">#REF!</definedName>
    <definedName name="xixi">#REF!</definedName>
    <definedName name="y" localSheetId="1">#REF!</definedName>
    <definedName name="y" localSheetId="4">#REF!</definedName>
    <definedName name="y" localSheetId="3">#REF!</definedName>
    <definedName name="y" localSheetId="2">#REF!</definedName>
    <definedName name="y">#REF!</definedName>
    <definedName name="Z" localSheetId="1">#REF!</definedName>
    <definedName name="Z" localSheetId="4">#REF!</definedName>
    <definedName name="Z" localSheetId="3">#REF!</definedName>
    <definedName name="Z" localSheetId="2">#REF!</definedName>
    <definedName name="Z">#REF!</definedName>
  </definedNames>
  <calcPr fullCalcOnLoad="1"/>
</workbook>
</file>

<file path=xl/comments1.xml><?xml version="1.0" encoding="utf-8"?>
<comments xmlns="http://schemas.openxmlformats.org/spreadsheetml/2006/main">
  <authors>
    <author>Jo?o Leite da Silva </author>
  </authors>
  <commentList>
    <comment ref="E20" authorId="0">
      <text>
        <r>
          <rPr>
            <b/>
            <sz val="9"/>
            <rFont val="Tahoma"/>
            <family val="2"/>
          </rPr>
          <t>viagem de deslocamento da sede municipal até a localidade de construção da casa</t>
        </r>
      </text>
    </comment>
    <comment ref="G20" authorId="0">
      <text>
        <r>
          <rPr>
            <sz val="9"/>
            <rFont val="Tahoma"/>
            <family val="2"/>
          </rPr>
          <t xml:space="preserve">viagem pessoal de obra a cada 15 dias (residências p/trabalho)
</t>
        </r>
      </text>
    </comment>
    <comment ref="E21" authorId="0">
      <text>
        <r>
          <rPr>
            <b/>
            <sz val="9"/>
            <rFont val="Tahoma"/>
            <family val="2"/>
          </rPr>
          <t>almoço e jantar= 1 pedreiro + 1 servente, durante 25 dias p/a construção de uma casa de um quarto</t>
        </r>
        <r>
          <rPr>
            <sz val="9"/>
            <rFont val="Tahoma"/>
            <family val="2"/>
          </rPr>
          <t xml:space="preserve">
</t>
        </r>
      </text>
    </comment>
    <comment ref="G21" authorId="0">
      <text>
        <r>
          <rPr>
            <b/>
            <sz val="9"/>
            <rFont val="Tahoma"/>
            <family val="2"/>
          </rPr>
          <t>1 café da manhã p/2 pessoas durante 25 dias, para construir uma casa de um quarto</t>
        </r>
      </text>
    </comment>
    <comment ref="E23" authorId="0">
      <text>
        <r>
          <rPr>
            <b/>
            <sz val="9"/>
            <rFont val="Tahoma"/>
            <family val="2"/>
          </rPr>
          <t>consumo de um par de luvas por trabalhador a cada dois meses</t>
        </r>
      </text>
    </comment>
    <comment ref="E24" authorId="0">
      <text>
        <r>
          <rPr>
            <b/>
            <sz val="9"/>
            <rFont val="Tahoma"/>
            <family val="2"/>
          </rPr>
          <t>consumo de um par de butina por trabalhador por mês</t>
        </r>
      </text>
    </comment>
    <comment ref="E25" authorId="0">
      <text>
        <r>
          <rPr>
            <b/>
            <sz val="9"/>
            <rFont val="Tahoma"/>
            <family val="2"/>
          </rPr>
          <t>consumo de um capacete por trabalhador em 150 casas construídas</t>
        </r>
      </text>
    </comment>
    <comment ref="G25" authorId="0">
      <text>
        <r>
          <rPr>
            <b/>
            <sz val="9"/>
            <rFont val="Tahoma"/>
            <family val="2"/>
          </rPr>
          <t>número de casa construídas durante a vida útil de um capacete</t>
        </r>
      </text>
    </comment>
    <comment ref="E26" authorId="0">
      <text>
        <r>
          <rPr>
            <b/>
            <sz val="9"/>
            <rFont val="Tahoma"/>
            <family val="2"/>
          </rPr>
          <t>consumo de uma capa de chuva por trabalhador a cada 100 casas construídas</t>
        </r>
      </text>
    </comment>
    <comment ref="G26" authorId="0">
      <text>
        <r>
          <rPr>
            <b/>
            <sz val="9"/>
            <rFont val="Tahoma"/>
            <family val="2"/>
          </rPr>
          <t>número de casas de um quarto a ser construida durante a vida útil de uma capa de chuva</t>
        </r>
      </text>
    </comment>
    <comment ref="E27" authorId="0">
      <text>
        <r>
          <rPr>
            <b/>
            <sz val="9"/>
            <rFont val="Tahoma"/>
            <family val="2"/>
          </rPr>
          <t>consumo de um óculos, por trabalhador para construir ciquenta casas de um quarto</t>
        </r>
      </text>
    </comment>
    <comment ref="G27" authorId="0">
      <text>
        <r>
          <rPr>
            <b/>
            <sz val="9"/>
            <rFont val="Tahoma"/>
            <family val="2"/>
          </rPr>
          <t>número de casas a ser construidas durante a vida útil de óculos de segurança</t>
        </r>
      </text>
    </comment>
    <comment ref="E28" authorId="0">
      <text>
        <r>
          <rPr>
            <b/>
            <sz val="9"/>
            <rFont val="Tahoma"/>
            <family val="2"/>
          </rPr>
          <t>consumo de um par de luva PVC por pedreiro para construir cinco casas de um quarto</t>
        </r>
      </text>
    </comment>
    <comment ref="G28" authorId="0">
      <text>
        <r>
          <rPr>
            <b/>
            <sz val="9"/>
            <rFont val="Tahoma"/>
            <family val="2"/>
          </rPr>
          <t>número de casas a serem construidas durante a vida útil de um par de luva de pvc</t>
        </r>
      </text>
    </comment>
    <comment ref="E29" authorId="0">
      <text>
        <r>
          <rPr>
            <b/>
            <sz val="9"/>
            <rFont val="Tahoma"/>
            <family val="2"/>
          </rPr>
          <t>alojamento de 10m², para construir setenta casas de um quarto durante um mês</t>
        </r>
      </text>
    </comment>
    <comment ref="G29" authorId="0">
      <text>
        <r>
          <rPr>
            <b/>
            <sz val="9"/>
            <rFont val="Tahoma"/>
            <family val="2"/>
          </rPr>
          <t>número de casas a serem construidas durante a ocupação de um alojamento de 10m².</t>
        </r>
      </text>
    </comment>
  </commentList>
</comments>
</file>

<file path=xl/sharedStrings.xml><?xml version="1.0" encoding="utf-8"?>
<sst xmlns="http://schemas.openxmlformats.org/spreadsheetml/2006/main" count="910" uniqueCount="574">
  <si>
    <t>ITENS</t>
  </si>
  <si>
    <t>DESCRIÇÃO</t>
  </si>
  <si>
    <t>UNID</t>
  </si>
  <si>
    <t>QUANT</t>
  </si>
  <si>
    <t>TOTAL</t>
  </si>
  <si>
    <t>SERVIÇOS PRELIMINARES/INSTALAÇÃO DO CANTEIRO DE OBRAS</t>
  </si>
  <si>
    <t>1.1</t>
  </si>
  <si>
    <t>m²</t>
  </si>
  <si>
    <t>MOBILIZAÇÃO E DESMOBILIZAÇÃO</t>
  </si>
  <si>
    <t>2.1</t>
  </si>
  <si>
    <t>h</t>
  </si>
  <si>
    <t>ADMINISTRAÇÃO LOCAL</t>
  </si>
  <si>
    <t>Engenheiro responsável</t>
  </si>
  <si>
    <t>unid</t>
  </si>
  <si>
    <t>Luva tipo raspa</t>
  </si>
  <si>
    <t>par</t>
  </si>
  <si>
    <t>Luva de PVC</t>
  </si>
  <si>
    <t>Capacete</t>
  </si>
  <si>
    <t>Capa de chuva</t>
  </si>
  <si>
    <t>Óculos de Segurança</t>
  </si>
  <si>
    <t>MOVIMENTO DE TERRA</t>
  </si>
  <si>
    <t>4.01</t>
  </si>
  <si>
    <t>m³</t>
  </si>
  <si>
    <t>4.02</t>
  </si>
  <si>
    <t>FUNDAÇÃO</t>
  </si>
  <si>
    <t>5.01</t>
  </si>
  <si>
    <t>6.01</t>
  </si>
  <si>
    <t>Alvenaria em pedra, 30x40cm-corrida sob parede, junta seca</t>
  </si>
  <si>
    <t>6.02</t>
  </si>
  <si>
    <t>7.01</t>
  </si>
  <si>
    <t>PAREDES E PAINEIS (alvenaria de elevação)</t>
  </si>
  <si>
    <t>8.01</t>
  </si>
  <si>
    <t>COBERTURA</t>
  </si>
  <si>
    <t>9.01</t>
  </si>
  <si>
    <t>9.02</t>
  </si>
  <si>
    <t xml:space="preserve">Telhado cerâmico, tipo plan, </t>
  </si>
  <si>
    <t>9.03</t>
  </si>
  <si>
    <t>m</t>
  </si>
  <si>
    <t>9.04</t>
  </si>
  <si>
    <t>Embocamento, cumeeira e laterais</t>
  </si>
  <si>
    <t>INSTALAÇÕES ELÉTRICAS</t>
  </si>
  <si>
    <t>10.01</t>
  </si>
  <si>
    <t>10.02</t>
  </si>
  <si>
    <t>10.03</t>
  </si>
  <si>
    <t>10.04</t>
  </si>
  <si>
    <t>10.05</t>
  </si>
  <si>
    <t>10.06</t>
  </si>
  <si>
    <t>11.01</t>
  </si>
  <si>
    <t>Ponto de água fria embutido, para chuveiro, caixa de descarga, lavatorio, pia de cozinha e tanque de lavar roupa, com material PVC rígido soldável, inclusive conexões</t>
  </si>
  <si>
    <t>11.02</t>
  </si>
  <si>
    <t>INSTALAÇÕES SANITÁRIAS</t>
  </si>
  <si>
    <t>INSTALAÇÕES METAIS e ACESSÓRIOS</t>
  </si>
  <si>
    <t>12.02</t>
  </si>
  <si>
    <t>TANQUE SÉPTICO</t>
  </si>
  <si>
    <t>SUMIDOURO</t>
  </si>
  <si>
    <t>14.02</t>
  </si>
  <si>
    <t>Regularização - cimento queimado, casa</t>
  </si>
  <si>
    <t>14.03</t>
  </si>
  <si>
    <t>14.04</t>
  </si>
  <si>
    <t>15.01</t>
  </si>
  <si>
    <t>Porta metálica,  60 x210cm</t>
  </si>
  <si>
    <t>15.02</t>
  </si>
  <si>
    <t>Porta metálica,  80 x210cm</t>
  </si>
  <si>
    <t>PINTURAS (paredes - externas, internas, esquadrias e teto)</t>
  </si>
  <si>
    <t>16.01</t>
  </si>
  <si>
    <t>16.02</t>
  </si>
  <si>
    <t>LIMPEZA</t>
  </si>
  <si>
    <t>17.01</t>
  </si>
  <si>
    <t>Limpeza Geral da Obra</t>
  </si>
  <si>
    <t>TOTAL GERAL DA OBRA</t>
  </si>
  <si>
    <t>BDI%</t>
  </si>
  <si>
    <t>TOTAL GERAL COM BDI</t>
  </si>
  <si>
    <t>Bota de couro, solado de borracha, vulcanizada</t>
  </si>
  <si>
    <t>Escavação manual de valas(baldrames)</t>
  </si>
  <si>
    <t>Camada regularizadora em concreto simples, 30 x 7cm corrida</t>
  </si>
  <si>
    <t xml:space="preserve">ESTRUTURA </t>
  </si>
  <si>
    <t>Estrutura para telhado em madeira de 1ª qualidade</t>
  </si>
  <si>
    <t>Cumeeira</t>
  </si>
  <si>
    <t>10.07</t>
  </si>
  <si>
    <t>Disjuntor monopolar termomagnetico-15 A</t>
  </si>
  <si>
    <t>10.08</t>
  </si>
  <si>
    <t>Disjuntor monopolar termomagnetico-25 A</t>
  </si>
  <si>
    <t>10.09</t>
  </si>
  <si>
    <t>Interruptor paralelo/Tomada simples</t>
  </si>
  <si>
    <t>und.</t>
  </si>
  <si>
    <t>unid.</t>
  </si>
  <si>
    <t>Chuveiro eletrico popular , c/ braço de aluminio, instalado</t>
  </si>
  <si>
    <t>Caixa de descarga completa de plastico, instalado</t>
  </si>
  <si>
    <t>Lavatório de louça sem coluna, inclusive  torneira metálica cromada simples, sifão  e valvula de plastico, instalados</t>
  </si>
  <si>
    <t>Pia de cozinha em granitina de 1,20m  inclusive  torneira metálica cromada simples, sifão  e valvula de plastico, instalados</t>
  </si>
  <si>
    <t>Caixa de gordura, com tampa, PVC 250x230x 75 mm</t>
  </si>
  <si>
    <t>Caixa sinfonada  150x150x50  mm</t>
  </si>
  <si>
    <t>Tanque de lavar roupa pré-moldado- duas cubas mais batedor ,  inclusive  torneira metálica amarela simples, sifão  e valvula de plastico, instalados</t>
  </si>
  <si>
    <t>3.1</t>
  </si>
  <si>
    <t>3.2</t>
  </si>
  <si>
    <t>3.3</t>
  </si>
  <si>
    <t>3.5</t>
  </si>
  <si>
    <t>3.6</t>
  </si>
  <si>
    <t>3.7</t>
  </si>
  <si>
    <t>3.8</t>
  </si>
  <si>
    <t>3.9</t>
  </si>
  <si>
    <t>3.10</t>
  </si>
  <si>
    <t>3.11</t>
  </si>
  <si>
    <t>Pintura interna  externa com duas demãos  com tinta PVA cor branca exterior</t>
  </si>
  <si>
    <t>Pintura em esmalte sintético fosco azul celeste em duas demãos(portas , janelas e suporte da caixa d'agua)</t>
  </si>
  <si>
    <t>Suporte para  reservatório - metalico de ferro redondo de 1/2" , h= 5,00m,instaldo(inclusive fundação), de acordo com projeto.</t>
  </si>
  <si>
    <t>1.2</t>
  </si>
  <si>
    <t>Limpeza do terreno</t>
  </si>
  <si>
    <t>Encarregado</t>
  </si>
  <si>
    <t>Agulhamento de base, em pedra</t>
  </si>
  <si>
    <t>73672</t>
  </si>
  <si>
    <t>72840</t>
  </si>
  <si>
    <t xml:space="preserve">Transporte terrestre </t>
  </si>
  <si>
    <t>73965/004</t>
  </si>
  <si>
    <t>Reaterro manual apiloado</t>
  </si>
  <si>
    <t>74078/001</t>
  </si>
  <si>
    <t>74053/003</t>
  </si>
  <si>
    <t>73907/006</t>
  </si>
  <si>
    <t>Laje pré-fabricada para  forro do banheiro e = 8cm</t>
  </si>
  <si>
    <t>74202/001</t>
  </si>
  <si>
    <t>74200/001</t>
  </si>
  <si>
    <t>79335/001</t>
  </si>
  <si>
    <t>73938/002</t>
  </si>
  <si>
    <t>73938/007</t>
  </si>
  <si>
    <t>Eletroduto de pvc corrugado 3/4"</t>
  </si>
  <si>
    <t>73860/008</t>
  </si>
  <si>
    <t>73860/009</t>
  </si>
  <si>
    <t>Cabinho anti- chama(fio)  Ø= 4,0mm²</t>
  </si>
  <si>
    <t>74130/001</t>
  </si>
  <si>
    <t>10.10</t>
  </si>
  <si>
    <t>10.11</t>
  </si>
  <si>
    <t>10.12</t>
  </si>
  <si>
    <t>10.13</t>
  </si>
  <si>
    <t>73959/002</t>
  </si>
  <si>
    <t>73958/001</t>
  </si>
  <si>
    <t>Ponto de esgoto para vaso sanitário, caixa sifonada, pia, lavatorio e tanque, inclusive conexões.</t>
  </si>
  <si>
    <t>74225/001</t>
  </si>
  <si>
    <t>Chapisco   1:4</t>
  </si>
  <si>
    <t>Reboco paulista c/ argamassa de cimento/cal/areia(1:4:8) com 2 cm de espessura</t>
  </si>
  <si>
    <t>74199/001</t>
  </si>
  <si>
    <t>73991/002</t>
  </si>
  <si>
    <t>73924/003</t>
  </si>
  <si>
    <t>73933/003</t>
  </si>
  <si>
    <t>3.12</t>
  </si>
  <si>
    <t>P.M.</t>
  </si>
  <si>
    <t>P.M</t>
  </si>
  <si>
    <t>P,M.</t>
  </si>
  <si>
    <t>MELHORIA HABITACIONAL PARA O CONTROLE DA DOENÇA DE CHAGAS</t>
  </si>
  <si>
    <t xml:space="preserve">Planilha Total de Custos das Unidades Habitacionais para Controle de Doença de Chagas </t>
  </si>
  <si>
    <t>Quantidade de Casas</t>
  </si>
  <si>
    <t xml:space="preserve">ADM.: </t>
  </si>
  <si>
    <t>ORÇAMENTO</t>
  </si>
  <si>
    <t>SINAPI</t>
  </si>
  <si>
    <t>ITEM</t>
  </si>
  <si>
    <t>PREÇO TOTAL (R$)</t>
  </si>
  <si>
    <t>Placa/espelho( tomadas e interruptores)</t>
  </si>
  <si>
    <t>Caixa de passagem 4 x 2 cm, completa</t>
  </si>
  <si>
    <t>Interruptor  simples/tomada, completo</t>
  </si>
  <si>
    <t>Janela de ferro, chapa metálica, 60 x 60cm, c/vidro martelado(banheiro)</t>
  </si>
  <si>
    <t>Tomada simples, completo</t>
  </si>
  <si>
    <t>Tomada p/ chuveiro, completo</t>
  </si>
  <si>
    <t>OBRA:</t>
  </si>
  <si>
    <t>DATA:</t>
  </si>
  <si>
    <t>BDI: (%)</t>
  </si>
  <si>
    <t>MOEDA:</t>
  </si>
  <si>
    <t>R$</t>
  </si>
  <si>
    <t>SERVIÇOS</t>
  </si>
  <si>
    <t>M Ê S</t>
  </si>
  <si>
    <t>01</t>
  </si>
  <si>
    <t>02</t>
  </si>
  <si>
    <t>03</t>
  </si>
  <si>
    <t>04</t>
  </si>
  <si>
    <t>05</t>
  </si>
  <si>
    <t>06</t>
  </si>
  <si>
    <t>SERVIÇOS PRELIMINARES</t>
  </si>
  <si>
    <t>MOBILIZAÇÃO / DESMOBILIZAÇÃO</t>
  </si>
  <si>
    <t>FUNDAÇÕES, INFRA E SUPERESTRUTURA</t>
  </si>
  <si>
    <t>PAVIMENTAÇÃO - PISOS</t>
  </si>
  <si>
    <t>ALVENARIAS DE VEDAÇÃO - PAREDES E PAINEIS</t>
  </si>
  <si>
    <t>REVESTIMENTOS DE PAREDES</t>
  </si>
  <si>
    <t>ESQUADRIAS METÁLICA</t>
  </si>
  <si>
    <t>10.00</t>
  </si>
  <si>
    <t>INSTALAÇÕES HIDRÁULICAS</t>
  </si>
  <si>
    <t>11.00</t>
  </si>
  <si>
    <t>12.00</t>
  </si>
  <si>
    <t>LOUÇAS E ACESSÓRIOS SANITÁRIOS</t>
  </si>
  <si>
    <t>13.00</t>
  </si>
  <si>
    <t>14.00</t>
  </si>
  <si>
    <t>15.00</t>
  </si>
  <si>
    <t>16.00</t>
  </si>
  <si>
    <t>17.00</t>
  </si>
  <si>
    <t>PINTURAS</t>
  </si>
  <si>
    <t>LIMPEZA GERAL</t>
  </si>
  <si>
    <t>SUB-TOTAL .............................</t>
  </si>
  <si>
    <t>PLACA DE OBRA - MOD.GOV.FEDERAL</t>
  </si>
  <si>
    <t>TOTAL NO MÊS .......................</t>
  </si>
  <si>
    <t>TOTAL ACUMULADO ...............</t>
  </si>
  <si>
    <t xml:space="preserve">Planilha de Custos de Unidade Habitacional </t>
  </si>
  <si>
    <t>LDI%=</t>
  </si>
  <si>
    <t>CALCULO DO BDI</t>
  </si>
  <si>
    <t>Para o cálculo do BDI  será aplicada a seguinte fórmula básica</t>
  </si>
  <si>
    <t>Sendo:  i = taxa de Administração Central;
             r = taxa de risco do empreendimento;
             f = taxa de custo financeiro do capital de giro;
             t = taxa de tributos federais;
             s = taxa de tributo municipal – ISS
             c = taxa de despesas de comercialização
             l = lucro ou remuneração liquida da empresa.</t>
  </si>
  <si>
    <t>DISCRIMINAÇÃO</t>
  </si>
  <si>
    <t>TAXAS DO BDI</t>
  </si>
  <si>
    <t>Adm. Central</t>
  </si>
  <si>
    <t>Rateio Adm. Central</t>
  </si>
  <si>
    <t>Despesas Específicas</t>
  </si>
  <si>
    <t>Taxa de Risco</t>
  </si>
  <si>
    <t>Despesa Financeira</t>
  </si>
  <si>
    <t>Tributos</t>
  </si>
  <si>
    <t>4.1</t>
  </si>
  <si>
    <t>PIS</t>
  </si>
  <si>
    <t>4.2</t>
  </si>
  <si>
    <t>COFINS</t>
  </si>
  <si>
    <t>4.3</t>
  </si>
  <si>
    <t>ISS</t>
  </si>
  <si>
    <t>Taxa de Comercialização</t>
  </si>
  <si>
    <t>Lucro</t>
  </si>
  <si>
    <t>Cálculo do BDI</t>
  </si>
  <si>
    <t>ADMINISTRAÇÃO CENTRAL</t>
  </si>
  <si>
    <t>RATEIO DA ADMINISTRAÇÃO CENTRAL</t>
  </si>
  <si>
    <t>DEFINIÇÃO:  São despesas claramente definidas para atender determinadas obras pagas total ou parcialmente pela Administração Central.</t>
  </si>
  <si>
    <t>TRIBUTOS FEDERAIS</t>
  </si>
  <si>
    <t>TRIBUTO MUNICIPAL - ISS</t>
  </si>
  <si>
    <t>TAXA DE COMERCIALIZAÇÃO</t>
  </si>
  <si>
    <t>LUCRO OU BENEFÍCIO</t>
  </si>
  <si>
    <t>QUANT.</t>
  </si>
  <si>
    <t>MELHORIA HABITACIONAL  PARA CONTROLE DA DOENÇA DE CHAGAS</t>
  </si>
  <si>
    <t>COMPOSIÇÃO DE PREÇO</t>
  </si>
  <si>
    <t>PLACA DE OBRA - MANUAL DE IDENTIFICAÇÃO VISUAL FUNASA - GOV FEDERAL - m²</t>
  </si>
  <si>
    <t>DADOS:</t>
  </si>
  <si>
    <t>1) Consumo de material por m²</t>
  </si>
  <si>
    <t>Unidade</t>
  </si>
  <si>
    <t>Quant.</t>
  </si>
  <si>
    <t>Chapa galvanizada</t>
  </si>
  <si>
    <t>Madeira mista 7,5 x 7,5cm</t>
  </si>
  <si>
    <t>Prego de 1 1/4" x 13</t>
  </si>
  <si>
    <t>kg</t>
  </si>
  <si>
    <t>Prego de 2 1/2" x 8</t>
  </si>
  <si>
    <t>Sarrafo de madeira 1"x 4"</t>
  </si>
  <si>
    <t>Thinner</t>
  </si>
  <si>
    <t>litro</t>
  </si>
  <si>
    <t>Tinta óleo fosca</t>
  </si>
  <si>
    <t>Zarcão martelado</t>
  </si>
  <si>
    <t>2) Leis Sociais</t>
  </si>
  <si>
    <t>%</t>
  </si>
  <si>
    <t>3) Salário hora</t>
  </si>
  <si>
    <t>Carpinteiro</t>
  </si>
  <si>
    <t>Servente</t>
  </si>
  <si>
    <t>Sem Leis sociais</t>
  </si>
  <si>
    <t>Com Leis Sociais</t>
  </si>
  <si>
    <t>4) Coeficiente de produção</t>
  </si>
  <si>
    <t>Pintor</t>
  </si>
  <si>
    <t>Armação da placa</t>
  </si>
  <si>
    <t>-</t>
  </si>
  <si>
    <t>horas por m²</t>
  </si>
  <si>
    <t>Lay-out da placa</t>
  </si>
  <si>
    <t>R$ por m²</t>
  </si>
  <si>
    <t>5) Preço do material</t>
  </si>
  <si>
    <t>Valor (R$)</t>
  </si>
  <si>
    <t>UNIDADE:</t>
  </si>
  <si>
    <t>INSUMOS</t>
  </si>
  <si>
    <t>UNIDADE</t>
  </si>
  <si>
    <t>CUSTO UNITÁRIO</t>
  </si>
  <si>
    <t>PARCELA DO PREÇO UNITÁRIO</t>
  </si>
  <si>
    <t>MATERIAL</t>
  </si>
  <si>
    <t>MÃO-DE-OBRA</t>
  </si>
  <si>
    <t>EQUIP.</t>
  </si>
  <si>
    <t>hora</t>
  </si>
  <si>
    <t>SUB-TOTAL ...............................</t>
  </si>
  <si>
    <t>CUSTO DIRETO TOTAL ...............</t>
  </si>
  <si>
    <t>B.D.I. (00,00%) ............................</t>
  </si>
  <si>
    <t>PREÇO TOTAL ...........................</t>
  </si>
  <si>
    <t>x</t>
  </si>
  <si>
    <t>=</t>
  </si>
  <si>
    <t>(R$)</t>
  </si>
  <si>
    <t>Custo unitário da placa  (m²)</t>
  </si>
  <si>
    <t xml:space="preserve">Planilha de Custos de Unidade Habitacional para Controle de Doença de Chagas </t>
  </si>
  <si>
    <t xml:space="preserve">Adm.: </t>
  </si>
  <si>
    <t>1.00</t>
  </si>
  <si>
    <t>SERVIÇOS PRELIMINARES E INSTALAÇÃO DO CANTEIRO DE OBRAS</t>
  </si>
  <si>
    <t>01.01</t>
  </si>
  <si>
    <t>Locação da obra</t>
  </si>
  <si>
    <t>01.02</t>
  </si>
  <si>
    <t>01.03</t>
  </si>
  <si>
    <t>Placa da obra Padrão FUNASA (2.2 X 4.0m)</t>
  </si>
  <si>
    <t>2.00</t>
  </si>
  <si>
    <t xml:space="preserve">MOBILIZAÇÃO E DESMOBILIZAÇÃO  </t>
  </si>
  <si>
    <t>02.01</t>
  </si>
  <si>
    <t>02.02</t>
  </si>
  <si>
    <t>Despesas de viagens</t>
  </si>
  <si>
    <t>/</t>
  </si>
  <si>
    <t>3.00</t>
  </si>
  <si>
    <t>03.01</t>
  </si>
  <si>
    <t xml:space="preserve">Engenheiro pleno </t>
  </si>
  <si>
    <t>X</t>
  </si>
  <si>
    <t>03.02</t>
  </si>
  <si>
    <t>Encarregado geral</t>
  </si>
  <si>
    <t>03.03</t>
  </si>
  <si>
    <t>Transporte de pessoal de obra</t>
  </si>
  <si>
    <t>03.04</t>
  </si>
  <si>
    <t>Alimentação</t>
  </si>
  <si>
    <t>+</t>
  </si>
  <si>
    <t>03.05</t>
  </si>
  <si>
    <t>Material de segurança EPI:</t>
  </si>
  <si>
    <t>Bota</t>
  </si>
  <si>
    <t>03.06</t>
  </si>
  <si>
    <t>Alojamento de pessoal</t>
  </si>
  <si>
    <t>4.00</t>
  </si>
  <si>
    <t>04.01</t>
  </si>
  <si>
    <t>Escavação manual de valas (baldrames)</t>
  </si>
  <si>
    <t>04.02</t>
  </si>
  <si>
    <t>Aterro apiloado manual entre baldrames</t>
  </si>
  <si>
    <t>5.00</t>
  </si>
  <si>
    <t xml:space="preserve">FUNDAÇÃO </t>
  </si>
  <si>
    <t>05.01</t>
  </si>
  <si>
    <t>Agulhamento de fundo de vala com maço de ferro com 10 Kg, com pedra de mão (h = 10 cm)</t>
  </si>
  <si>
    <t>05.02</t>
  </si>
  <si>
    <t>Embasamento com pedra marroada sem argamassa (h = 40 cm)</t>
  </si>
  <si>
    <t>05.03</t>
  </si>
  <si>
    <t>Regularização do embasamento com argamassa traço 1:3 (e =  5cm x 20cm)</t>
  </si>
  <si>
    <t>05.04</t>
  </si>
  <si>
    <t>Alvenaria para baldrame em  tijolo maciço comum (e=20cm) assentes com argamassa de cimento e areia (1:7), sem revestimento. (h=15 cm)</t>
  </si>
  <si>
    <t>6.00</t>
  </si>
  <si>
    <t xml:space="preserve"> ESTRUTURA </t>
  </si>
  <si>
    <t>06.01</t>
  </si>
  <si>
    <t>Armadura de aço CA-50 ( 6,4 mm - 1/4” ), para baldrame</t>
  </si>
  <si>
    <t>06.02</t>
  </si>
  <si>
    <t>Vergas e contra-vergas pre moldada 10 x 10 cm, em concreto 15,0 Mpa</t>
  </si>
  <si>
    <t>06.03</t>
  </si>
  <si>
    <t xml:space="preserve">Laje pré-fabricada para forro e = 8 cm, inclusive lajotas, ferragens e escoramento </t>
  </si>
  <si>
    <t>7.00</t>
  </si>
  <si>
    <t>PAREDES E PAINEIS</t>
  </si>
  <si>
    <t>07.01</t>
  </si>
  <si>
    <t>Alvenaria 1/2 vez de tijolo cerâmico furado 10x20x20cm, assentado com argamassa 1:2:8 cim/cal/areia, juntas 12mm</t>
  </si>
  <si>
    <t>8.00</t>
  </si>
  <si>
    <t>08.01</t>
  </si>
  <si>
    <t>Telha cerâmica tipo PLAN</t>
  </si>
  <si>
    <t>08.02</t>
  </si>
  <si>
    <t>Estrutura em madeira para o telhado</t>
  </si>
  <si>
    <t>9.00</t>
  </si>
  <si>
    <t>INSTALAÇÕES ELETRICAS</t>
  </si>
  <si>
    <t>09.01</t>
  </si>
  <si>
    <t xml:space="preserve">Quadro de distribuição geral monofásico para  6 elementos </t>
  </si>
  <si>
    <t>09.02</t>
  </si>
  <si>
    <t>Cabo unipolar isolam. PVC 2,5mm2</t>
  </si>
  <si>
    <t>09.03</t>
  </si>
  <si>
    <t>Cabo unipolar isolam. PVC 4mm2</t>
  </si>
  <si>
    <t>09.04</t>
  </si>
  <si>
    <t>Disjuntor monopolar termomagnético - UL 15 A</t>
  </si>
  <si>
    <t>09.05</t>
  </si>
  <si>
    <t>Disjuntor monopolar termomagnético - UL 25 A</t>
  </si>
  <si>
    <t>09.06</t>
  </si>
  <si>
    <t>Eletroduto PVC flexível leve 3/4</t>
  </si>
  <si>
    <t>09.07</t>
  </si>
  <si>
    <t>Tomada universal simples de 2 polos</t>
  </si>
  <si>
    <t>09.08</t>
  </si>
  <si>
    <t xml:space="preserve">Isolador roldana médio em PVC </t>
  </si>
  <si>
    <t>09.09</t>
  </si>
  <si>
    <t>Lâmpadas incandescentes 60W, com bocal</t>
  </si>
  <si>
    <t>09.10</t>
  </si>
  <si>
    <t>Chuveiro elétrico plástico 110/220v c/braço 1/2"/canopla e registro pressão 3/4"c/ acabamentos fornecimento e instalação</t>
  </si>
  <si>
    <t>09.11</t>
  </si>
  <si>
    <t>Caixa metálica ret. 4" x 2" x 2"</t>
  </si>
  <si>
    <t>09.12</t>
  </si>
  <si>
    <t>Interruptores simples de 1 seção</t>
  </si>
  <si>
    <t>INSTALAÇÕES HIDRO-SANITARIAS</t>
  </si>
  <si>
    <t>Tubo de PVC soldável marrom para água DN 25 mm (¾”), inclusive conexões</t>
  </si>
  <si>
    <t>Tubo de PVC soldável para esgoto DN 40 mm (Inclusive conexões)</t>
  </si>
  <si>
    <t>Tubo de PVC soldável para esgoto DN 50 mm (Inclusive conexões)</t>
  </si>
  <si>
    <t>Tubo de PVC soldável para esgoto DN 100 mm (Inclusive conexões)</t>
  </si>
  <si>
    <t>Caixa sifonada de PVC 150 x 150 x 50 mm</t>
  </si>
  <si>
    <t xml:space="preserve">Caixa de gordura em PVC  250x230x75mm, com tampa e porta-tampa </t>
  </si>
  <si>
    <t>Registro de gaveta ¾” com acabamento</t>
  </si>
  <si>
    <t>Registro gaveta ¾ bruto</t>
  </si>
  <si>
    <t xml:space="preserve">Registro de pressão ¾” para chuveiro com acabamento </t>
  </si>
  <si>
    <t>Caixa de descarga externa em PVC completa, capacidade 9 litros com tubo de descarga, engate flexível, bóia e suporte para fixação, bolsa de ligação em PVC flexível e conjunto para fixação da caixa de descarga</t>
  </si>
  <si>
    <t>Sumidouro em tijolos comuns com diâmetro externo de 1,50m e  3,50m de profundidade tampa concreto armado d=1,50m h=0,10m</t>
  </si>
  <si>
    <t xml:space="preserve">Fossa séptica em alvenaria rebocada e  cimento queimado na parte interna, com 2,41 x 1,41 x 1,64m e tampa em  concreto). </t>
  </si>
  <si>
    <t>LOUÇAS,METAIS E FERRAGENS</t>
  </si>
  <si>
    <t>Vaso sanitário em louça branca, padrão popular, com fixações</t>
  </si>
  <si>
    <t>Pia cozinha em mármore sintético (completa) 120x60cm(cozinha), inclusive  torneira e complementos</t>
  </si>
  <si>
    <t>11.03</t>
  </si>
  <si>
    <t>Lavatório louça branca, sem coluna, inclusive torneira metálica cromada simples, sifão e válvula de plástico.</t>
  </si>
  <si>
    <t>11.04</t>
  </si>
  <si>
    <t>Tanque de mármore sintético 22 litros com válvula em plástico branco 1 .1/4"x1.1/2", sifão plástico tipo copo 1.1/4" e torneira de metal amarelo curta 1/2" ou 3/4" para tanque - fornecimento e instalação</t>
  </si>
  <si>
    <t>REVESTIMENTOS</t>
  </si>
  <si>
    <t>12.01</t>
  </si>
  <si>
    <t>Chapisco 1:3</t>
  </si>
  <si>
    <t>Reboco paulista com argamassa de  cim/cal/areia 1:2:8 preparo mecânico ( e=2cm)</t>
  </si>
  <si>
    <t>12.03</t>
  </si>
  <si>
    <t>12.04</t>
  </si>
  <si>
    <t>Chapisco rústico traço 1:3 (cimento e areia), espessura 2cm, sobre reboco até h = 80 cm preparo manual</t>
  </si>
  <si>
    <t>PISOS INTERNOS E EXTERNOS</t>
  </si>
  <si>
    <t>13.01</t>
  </si>
  <si>
    <t>Lastro de brita</t>
  </si>
  <si>
    <t>13.02</t>
  </si>
  <si>
    <t>13.03</t>
  </si>
  <si>
    <t>Piso cimentado rústico e=3,5cm cimento/areia 1:4</t>
  </si>
  <si>
    <t>ESQUADRIAS</t>
  </si>
  <si>
    <t>14.01</t>
  </si>
  <si>
    <t>Pintura com cal, três demãos,  incluso óleo de linhaça</t>
  </si>
  <si>
    <t>Pintura grafite 2 demãos + 1demao zarcão p/esquadria metálica (Janelas, portas e suporte da caixa d’água)</t>
  </si>
  <si>
    <t>RESERVATÓRIO DE ÁGUA POTÁVEL</t>
  </si>
  <si>
    <t>Escavação manual de valas</t>
  </si>
  <si>
    <t>Concreto armado 15,0 Mpa para base do suporte do reservatório</t>
  </si>
  <si>
    <t>16.03</t>
  </si>
  <si>
    <t>Suporte para caixa d’água metálico, treliçado com 50 x 50 cm com ferro diâmetro 12,5 mm</t>
  </si>
  <si>
    <t>16.04</t>
  </si>
  <si>
    <t xml:space="preserve">Limpeza Geral da Obra </t>
  </si>
  <si>
    <t>Transporte de material de qualquer natureza(local:DMT &gt; 10 km +Rodoviário)</t>
  </si>
  <si>
    <t>Concreto fck= 20,0  Mpa,  contra-pisos internos, laje, vergas, contravergas</t>
  </si>
  <si>
    <t>Calçada em  concreto  fck=20,0 Mpa, fechamento com tijolo maciço e regularização - cimento sarrafiado</t>
  </si>
  <si>
    <t xml:space="preserve">Porta em chapa metálica 80 x 210cm completa (unid) </t>
  </si>
  <si>
    <t>Janela de correr tipo veneziana em chapa metálica (m²)</t>
  </si>
  <si>
    <t>Vergas pre-moldadas 10x10 cm, concreto fck=20,0 Mpa(portas e janelas)</t>
  </si>
  <si>
    <t xml:space="preserve">CRONOGRAMA FÍSICO-FINANCEIRO </t>
  </si>
  <si>
    <t>DEFINIÇÃO: Rateio é a parcela de despesa da Administração Central, debitada a determinada obra segundo os critérios estabelecidos pela direção da empresa.</t>
  </si>
  <si>
    <t xml:space="preserve">DEFINIÇÃO : Taxa que se aplica para empreitadas por preço unitário, preço fixo,  global ou Integral, para cobrir eventuais incertezas decorrentes de omissão de serviços, quantitativos irrealistas ou insuficientes, projetos mal feitos ou indefinidos, especificações deficientes, inexistência de sondagem do terreno, etc. </t>
  </si>
  <si>
    <t xml:space="preserve">Barrado  chapiscado externo, com peneira, com altura de  80 cm. </t>
  </si>
  <si>
    <t>Piso em cerâmica no banheiro e Revestimento até h = 1,80m</t>
  </si>
  <si>
    <t>12.05</t>
  </si>
  <si>
    <t>06.04</t>
  </si>
  <si>
    <t>Laje de fundo da fossa executada em concreto (fck=21 MPa) e com espessura mínima de 8 cm</t>
  </si>
  <si>
    <t>10.14</t>
  </si>
  <si>
    <t>Caixa d’água de polietileno ou equivalente, com tampa, capacidade 500 litros, com adaptadores, com flange 20mmx1/2" e 25mmx3/4", torneira de bóia real 1/2 com balão plástico, incluindo registro gaveta metal bruto 3/4".</t>
  </si>
  <si>
    <t>Cinta de amarração em alvenaria um vez, em tijolo cerâmico maciço - 10x20x05cm,c/duas camada c/2ø¼"cada-corridos( baldrame  e respaldo)</t>
  </si>
  <si>
    <t>Alvenaria em tijolos cerâmico furado, meia vez (½ vez), assentados com argamassa  1:2:8 , juntas de 12mm</t>
  </si>
  <si>
    <t>Cabinho anti- chama(fio) Ø= 2,5mm²</t>
  </si>
  <si>
    <t>Cerâmica esmaltada (30x20), linha popular PEI-4, assentada com argamassa colante, com rejuntamento em cimento branco, sobre a pia e o tanque, com altura de 0,60 m de altura (2 FIADAS).</t>
  </si>
  <si>
    <t xml:space="preserve">Porta em chapa metálica 60 x 210cm completa </t>
  </si>
  <si>
    <t>03.05.01</t>
  </si>
  <si>
    <t>03.05.02</t>
  </si>
  <si>
    <t>03.05.03</t>
  </si>
  <si>
    <t>03.05.04</t>
  </si>
  <si>
    <t>03.05.05</t>
  </si>
  <si>
    <t>03.05.06</t>
  </si>
  <si>
    <t>Área:</t>
  </si>
  <si>
    <t>PREFEITURA MUNICIPAL DE  XXXXXX</t>
  </si>
  <si>
    <t>08/2013</t>
  </si>
  <si>
    <t>XX/XXXX</t>
  </si>
  <si>
    <t>ESTADO DE XXXX</t>
  </si>
  <si>
    <t>PREFEITURA MUNICIPAL DE  XXXXX</t>
  </si>
  <si>
    <t>ESTADO DE XXXXX</t>
  </si>
  <si>
    <t>1</t>
  </si>
  <si>
    <t>2</t>
  </si>
  <si>
    <t>2.2</t>
  </si>
  <si>
    <t>3</t>
  </si>
  <si>
    <t xml:space="preserve">Transporte de pessoal de obra </t>
  </si>
  <si>
    <t>Alimentação (2 refeição para 2 pessoas para 25 dias)</t>
  </si>
  <si>
    <t>Café da manhã (2 refeição para 2 pessoas para 25 dias)</t>
  </si>
  <si>
    <t>Alojamento de pessoal (10 m²)</t>
  </si>
  <si>
    <t>3.4</t>
  </si>
  <si>
    <t>4</t>
  </si>
  <si>
    <t>5.02</t>
  </si>
  <si>
    <t>5.03</t>
  </si>
  <si>
    <t>5.04</t>
  </si>
  <si>
    <t>6</t>
  </si>
  <si>
    <t>6.03</t>
  </si>
  <si>
    <t>6.04</t>
  </si>
  <si>
    <t>7</t>
  </si>
  <si>
    <t>8</t>
  </si>
  <si>
    <t>8.02</t>
  </si>
  <si>
    <t>8.03</t>
  </si>
  <si>
    <t>8.04</t>
  </si>
  <si>
    <t>9</t>
  </si>
  <si>
    <t>9.05</t>
  </si>
  <si>
    <t>9.06</t>
  </si>
  <si>
    <t>9.07</t>
  </si>
  <si>
    <t>9.08</t>
  </si>
  <si>
    <t>9.09</t>
  </si>
  <si>
    <t>9.10</t>
  </si>
  <si>
    <t>9.11</t>
  </si>
  <si>
    <t>9.12</t>
  </si>
  <si>
    <t>9.13</t>
  </si>
  <si>
    <t>9.14</t>
  </si>
  <si>
    <t>Aquisição e instalação de caixa d’água de polietileno ou equivalente, com tampa, capacidade 500 litros, com adaptadores, com flange 20mmx1/2" e 25mmx3/4", torneira de bóia real 1/2 com balão plástico</t>
  </si>
  <si>
    <t>10.01.01</t>
  </si>
  <si>
    <t>10.01.02</t>
  </si>
  <si>
    <t>10.01.03</t>
  </si>
  <si>
    <t>10.01.08</t>
  </si>
  <si>
    <t>10.01.09</t>
  </si>
  <si>
    <t>10.01.10</t>
  </si>
  <si>
    <t>10.02.01</t>
  </si>
  <si>
    <t>10.02.02</t>
  </si>
  <si>
    <t>10.02.03</t>
  </si>
  <si>
    <t>10.02.04</t>
  </si>
  <si>
    <t>11</t>
  </si>
  <si>
    <t>11.1</t>
  </si>
  <si>
    <t>11.2</t>
  </si>
  <si>
    <t>11.3</t>
  </si>
  <si>
    <t>11.4</t>
  </si>
  <si>
    <t>11.5</t>
  </si>
  <si>
    <t>10.03.01</t>
  </si>
  <si>
    <t>10.04.01</t>
  </si>
  <si>
    <t>12</t>
  </si>
  <si>
    <t>13</t>
  </si>
  <si>
    <t>Quadro de distribuição  geral para 3 elementos c/Tampa</t>
  </si>
  <si>
    <t>Janela de ferro, chapa metálica, 150 x 100cm, correr, veneziana</t>
  </si>
  <si>
    <t>14</t>
  </si>
  <si>
    <t>15</t>
  </si>
  <si>
    <t>16</t>
  </si>
  <si>
    <t>REVESTIMENTOS (interno/externo de paredes e teto do WC)</t>
  </si>
  <si>
    <t>17</t>
  </si>
  <si>
    <t>18</t>
  </si>
  <si>
    <t>19</t>
  </si>
  <si>
    <t>20</t>
  </si>
  <si>
    <t>74185/001</t>
  </si>
  <si>
    <t>_______________________________________</t>
  </si>
  <si>
    <t>PREÇO UNIT. (R$)</t>
  </si>
  <si>
    <t>Engenheiro Civil ou  Arquiteto - CREA:</t>
  </si>
  <si>
    <t>74176/001</t>
  </si>
  <si>
    <t>73975/001</t>
  </si>
  <si>
    <t>Código SINAPI</t>
  </si>
  <si>
    <t>73982/001</t>
  </si>
  <si>
    <t>74131/001</t>
  </si>
  <si>
    <t>LDI (%)</t>
  </si>
  <si>
    <t>t x km</t>
  </si>
  <si>
    <t>Mês de referência</t>
  </si>
  <si>
    <t>74077/003</t>
  </si>
  <si>
    <t>Locação simples em estaca(sarrafo-60 x 2,5 x 5cm), com gabarito, com reaproveitamento</t>
  </si>
  <si>
    <t>Caixa de inspeção em alvenaria de tijolo maciço 60X60X60 cm, revestida internamente com barra lisa (cimento e areia - traço: 1:4) com tampa pré-moldada de concreto e fundo  de concreto 15 Mpa tipo C - Escavação e confecção</t>
  </si>
  <si>
    <t>74104/001</t>
  </si>
  <si>
    <t>10.02.05</t>
  </si>
  <si>
    <t>10.04.02</t>
  </si>
  <si>
    <t>74254/002</t>
  </si>
  <si>
    <t>Armadura de aço CA-50 (6,4 mm - 1/4” ), para baldrame (fornecimento/ corte/ colocação</t>
  </si>
  <si>
    <t>Lâmpadas incandescentes 60W (bocal/ lâmpada)</t>
  </si>
  <si>
    <t>73907/008</t>
  </si>
  <si>
    <t>* Os códigos SINAPI são referentes ao Estado de Goiás, mês Jan/2013. Cada projeto deverá apresentar custo menor ou igual à mediana do SINAPI, tomando por base a tabela de seu estado.</t>
  </si>
  <si>
    <t>74230/001</t>
  </si>
  <si>
    <t>Vaso sanitário, sifonado, louça branca, padrão popular com conjunto para fixação - fornecimento e instalação</t>
  </si>
  <si>
    <t>Assento para vaso sanitário, de plástico, padrão popular - fornecimento e instalação)</t>
  </si>
  <si>
    <t>11.6</t>
  </si>
  <si>
    <t>Cerâmica esmaltada (20x30), linha popular PEI-4, assentada com argamassa colante, com rejuntamento em cimento branco, piso + parede c/ altura 1,80m - banheiro</t>
  </si>
  <si>
    <t>73946/001</t>
  </si>
  <si>
    <t>Concreto fck= 15,0  Mpa,  contra-pisos internos</t>
  </si>
  <si>
    <t>Lastro de concreto simples  15,0 Mpa, com acabamento em cimento queimado liso ( e=5cm )</t>
  </si>
  <si>
    <t>74164/001</t>
  </si>
  <si>
    <t>13.04</t>
  </si>
  <si>
    <t>PREFEITURA MUNICIPAL DE XXXXX</t>
  </si>
  <si>
    <t>(%)</t>
  </si>
  <si>
    <t>DEFINIÇÃO: Administrarão Central é um dos  componentes das Despesas Indiretas. A obtenção de  seus dados e a sua comprovação pode ser feita através de demonstrações contábeis e financeiras constantes do balanço anual da empresa.</t>
  </si>
  <si>
    <t xml:space="preserve">DESPESAS ESPECÍFICAS DA ADMINISTRAÇÃO CENTRAL </t>
  </si>
  <si>
    <r>
      <t xml:space="preserve">TAXA DE RISCO DO EMPREENDIMENTO </t>
    </r>
    <r>
      <rPr>
        <sz val="10"/>
        <color indexed="8"/>
        <rFont val="Calibri"/>
        <family val="2"/>
      </rPr>
      <t xml:space="preserve"> – aplicável aos contratos de Empreitada por Preços Unitários,  Preço Fixo, Global ou Integral. </t>
    </r>
  </si>
  <si>
    <r>
      <t>CUSTO FINANCEIRO</t>
    </r>
    <r>
      <rPr>
        <sz val="10"/>
        <color indexed="8"/>
        <rFont val="Calibri"/>
        <family val="2"/>
      </rPr>
      <t xml:space="preserve"> – Aplicáveis  para contratos com pagamento a prazo.</t>
    </r>
  </si>
  <si>
    <t xml:space="preserve">DEFINIÇÃO: O custo financeiro pode ser considerado para pagamentos a prazo e compreende duas partes: uma pela perda monetária decorrente da defasagem entre a data do efetivo desembolso e a data da receita correspondente; a outra parte, de juros, correspondente ao financiamento da obra, pago pelo executor. </t>
  </si>
  <si>
    <t>DEFINIÇÃO: É o resultado de todos os gastos não computados como Custos Diretos ou Indiretos,  referentes à comercialização do produto mais as reservas de contingência ocorridas num determinado período, dividido pelo faturamento global  no mesmo período.</t>
  </si>
  <si>
    <t>DEFINIÇÃO: referem-se às alíquotas do PIS e da COFINS</t>
  </si>
  <si>
    <t xml:space="preserve">DEFINIÇÃO: Trata-se de  um  tributo municipal cobrado pela prestação de serviços no local de execução da obra ou do serviço.  </t>
  </si>
  <si>
    <t>DEFINIÇÃO: Lucro ou Benefício  é uma parcela destinada a remunerar o custo de oportunidade do capital aplicado, a capacidade administrativa, gerencial e tecnológica adquirida ao longo de anos de experiência no ramo, a responsabilidade pela administração do contrato e condução da obra através da estrutura organizacional da empresa e os investimentos na formação profissional do seu pessoal e criar a capacidade de reinvestir  no próprio negócio.</t>
  </si>
  <si>
    <t xml:space="preserve">Essa composição de BDI é apenas exemplo de um projeto específico de determinada obra. </t>
  </si>
  <si>
    <t>Observação</t>
  </si>
  <si>
    <t>Cada projeto deverá apresentar a composição do BDI, com preenchimento das células tarjadas em amarelo de acordo com a realidade da obra/construtora e do município, obedecendo aos limites estabelecidos pelo TCU.</t>
  </si>
  <si>
    <t>74070/003</t>
  </si>
  <si>
    <t>Fechadura de embutir completa para portas internas padrão de acabamento popular</t>
  </si>
  <si>
    <t>14.05</t>
  </si>
  <si>
    <t>Fossa séptica em alvenaria de tijolos cerâmicos, dimensões externas  2,41X1,41X164 m,  revestida internamente co barra lisa,e tampa em concreto armado com espessura de 10 cm.</t>
  </si>
  <si>
    <t xml:space="preserve">Sumidouro em alvenaria de tijolos cerâmicos de 1 vez a crivo, diâmetro de  1,50 m, altura de 3,50 m, com tampa em concreto armada diâmetro  de 1,60 m e espessura de 10 cm. </t>
  </si>
  <si>
    <t>74047/002</t>
  </si>
  <si>
    <t>Dobradiça em aço zincado</t>
  </si>
  <si>
    <t>14.06</t>
  </si>
  <si>
    <t>73984/002</t>
  </si>
  <si>
    <t>Valor dos serviços sem BDI:</t>
  </si>
  <si>
    <t>BDI........................................</t>
  </si>
  <si>
    <t>XX/ XX/ XXXX</t>
  </si>
  <si>
    <t>Unidade Habitacional para Controle da Doença de Chagas, área de 44,98m², (dois quartos), com abastecimento d'água.</t>
  </si>
  <si>
    <t>Quantidade de unidades de 44,98m², com abastecimento d'água habitacional e energia elétrica =</t>
  </si>
  <si>
    <t>73954/001</t>
  </si>
  <si>
    <r>
      <t>SERVIÇO:</t>
    </r>
    <r>
      <rPr>
        <sz val="11"/>
        <color indexed="8"/>
        <rFont val="Calibri"/>
        <family val="2"/>
      </rPr>
      <t xml:space="preserve"> PLACA DE OBRA </t>
    </r>
  </si>
  <si>
    <t>ESTADO DE XXX</t>
  </si>
  <si>
    <t xml:space="preserve">Município XXXX </t>
  </si>
  <si>
    <t>Estado</t>
  </si>
  <si>
    <t>QUANTIDADE DE PLACAS</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</si>
</sst>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0;[Red]#,##0.00"/>
    <numFmt numFmtId="167" formatCode="[$€]#\!#0.00_);[Red]\([$€]#,##0.00\)"/>
    <numFmt numFmtId="168" formatCode="0;[Red]0"/>
    <numFmt numFmtId="169" formatCode="mmm\-yy"/>
    <numFmt numFmtId="170" formatCode="#,##0.00_ ;\-#,##0.00\ "/>
    <numFmt numFmtId="171" formatCode="0.0"/>
    <numFmt numFmtId="172" formatCode="0.000%"/>
    <numFmt numFmtId="173" formatCode="0.000"/>
  </numFmts>
  <fonts count="66">
    <font>
      <sz val="11"/>
      <color theme="1"/>
      <name val="Calibri"/>
      <family val="2"/>
    </font>
    <font>
      <sz val="11"/>
      <color indexed="8"/>
      <name val="Calibri"/>
      <family val="2"/>
    </font>
    <font>
      <sz val="10"/>
      <name val="Arial"/>
      <family val="2"/>
    </font>
    <font>
      <b/>
      <sz val="10"/>
      <name val="Arial"/>
      <family val="2"/>
    </font>
    <font>
      <sz val="10"/>
      <name val="MS Sans Serif"/>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name val="Arial"/>
      <family val="2"/>
    </font>
    <font>
      <b/>
      <sz val="9"/>
      <name val="Arial"/>
      <family val="2"/>
    </font>
    <font>
      <b/>
      <sz val="14"/>
      <name val="Arial"/>
      <family val="2"/>
    </font>
    <font>
      <b/>
      <sz val="9"/>
      <name val="Tahoma"/>
      <family val="2"/>
    </font>
    <font>
      <sz val="9"/>
      <name val="Tahoma"/>
      <family val="2"/>
    </font>
    <font>
      <sz val="10"/>
      <color indexed="8"/>
      <name val="Calibri"/>
      <family val="2"/>
    </font>
    <font>
      <b/>
      <sz val="10"/>
      <color indexed="10"/>
      <name val="Arial"/>
      <family val="2"/>
    </font>
    <font>
      <sz val="10"/>
      <color indexed="36"/>
      <name val="Calibri"/>
      <family val="2"/>
    </font>
    <font>
      <sz val="10"/>
      <name val="Calibri"/>
      <family val="2"/>
    </font>
    <font>
      <sz val="12"/>
      <color indexed="8"/>
      <name val="Calibri"/>
      <family val="2"/>
    </font>
    <font>
      <sz val="12"/>
      <name val="Calibri"/>
      <family val="2"/>
    </font>
    <font>
      <b/>
      <sz val="10"/>
      <name val="Calibri"/>
      <family val="2"/>
    </font>
    <font>
      <sz val="10"/>
      <color indexed="10"/>
      <name val="Calibri"/>
      <family val="2"/>
    </font>
    <font>
      <b/>
      <sz val="12"/>
      <name val="Calibri"/>
      <family val="2"/>
    </font>
    <font>
      <b/>
      <sz val="11"/>
      <name val="Calibri"/>
      <family val="2"/>
    </font>
    <font>
      <b/>
      <sz val="10"/>
      <color indexed="17"/>
      <name val="Calibri"/>
      <family val="2"/>
    </font>
    <font>
      <sz val="10"/>
      <color indexed="30"/>
      <name val="Arial"/>
      <family val="2"/>
    </font>
    <font>
      <b/>
      <sz val="8"/>
      <name val="Calibri"/>
      <family val="2"/>
    </font>
    <font>
      <b/>
      <sz val="10"/>
      <color indexed="36"/>
      <name val="Calibri"/>
      <family val="2"/>
    </font>
    <font>
      <b/>
      <sz val="10"/>
      <color indexed="10"/>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sz val="12"/>
      <color theme="1"/>
      <name val="Calibri"/>
      <family val="2"/>
    </font>
    <font>
      <sz val="10"/>
      <color rgb="FFFF0000"/>
      <name val="Calibri"/>
      <family val="2"/>
    </font>
    <font>
      <sz val="10"/>
      <color theme="1"/>
      <name val="Calibri"/>
      <family val="2"/>
    </font>
    <font>
      <b/>
      <sz val="10"/>
      <color rgb="FF00B050"/>
      <name val="Calibri"/>
      <family val="2"/>
    </font>
    <font>
      <sz val="10"/>
      <color rgb="FF0070C0"/>
      <name val="Arial"/>
      <family val="2"/>
    </font>
    <font>
      <b/>
      <sz val="10"/>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style="thin"/>
      <right style="medium"/>
      <top style="thin"/>
      <bottom style="thin"/>
    </border>
    <border>
      <left/>
      <right style="medium"/>
      <top/>
      <bottom/>
    </border>
    <border>
      <left style="thin"/>
      <right style="thin"/>
      <top style="thin"/>
      <bottom/>
    </border>
    <border>
      <left style="thin"/>
      <right style="thin"/>
      <top/>
      <bottom style="thin"/>
    </border>
    <border>
      <left/>
      <right style="thin"/>
      <top/>
      <bottom/>
    </border>
    <border>
      <left/>
      <right style="thin"/>
      <top style="thin"/>
      <bottom style="thin"/>
    </border>
    <border>
      <left/>
      <right/>
      <top style="thin"/>
      <bottom style="thin"/>
    </border>
    <border>
      <left style="medium"/>
      <right/>
      <top/>
      <bottom/>
    </border>
    <border>
      <left/>
      <right style="medium"/>
      <top style="medium"/>
      <bottom/>
    </border>
    <border>
      <left/>
      <right style="medium"/>
      <top/>
      <bottom style="medium"/>
    </border>
    <border>
      <left style="medium"/>
      <right/>
      <top style="medium"/>
      <bottom/>
    </border>
    <border>
      <left style="medium"/>
      <right style="thin"/>
      <top style="thin"/>
      <bottom style="thin"/>
    </border>
    <border>
      <left/>
      <right style="medium"/>
      <top style="thin"/>
      <bottom style="medium"/>
    </border>
    <border>
      <left style="medium"/>
      <right style="thin"/>
      <top>
        <color indexed="63"/>
      </top>
      <bottom style="thin"/>
    </border>
    <border>
      <left style="thin"/>
      <right/>
      <top/>
      <bottom style="thin"/>
    </border>
    <border>
      <left style="thin"/>
      <right style="medium"/>
      <top>
        <color indexed="63"/>
      </top>
      <bottom style="thin"/>
    </border>
    <border>
      <left style="medium"/>
      <right style="thin"/>
      <top style="medium"/>
      <bottom style="double"/>
    </border>
    <border>
      <left style="thin"/>
      <right/>
      <top style="medium"/>
      <bottom style="double"/>
    </border>
    <border>
      <left style="thin"/>
      <right style="medium"/>
      <top style="medium"/>
      <bottom style="double"/>
    </border>
    <border>
      <left/>
      <right/>
      <top/>
      <bottom style="thin"/>
    </border>
    <border>
      <left/>
      <right/>
      <top style="thin"/>
      <bottom style="medium"/>
    </border>
    <border>
      <left>
        <color indexed="63"/>
      </left>
      <right>
        <color indexed="63"/>
      </right>
      <top style="medium"/>
      <bottom>
        <color indexed="63"/>
      </bottom>
    </border>
    <border>
      <left style="thin"/>
      <right/>
      <top style="thin"/>
      <bottom style="double"/>
    </border>
    <border>
      <left/>
      <right style="thin"/>
      <top style="thin"/>
      <bottom style="double"/>
    </border>
    <border>
      <left/>
      <right/>
      <top style="thin"/>
      <bottom style="double"/>
    </border>
    <border>
      <left/>
      <right style="thin"/>
      <top/>
      <bottom style="thin"/>
    </border>
    <border>
      <left style="thin"/>
      <right/>
      <top/>
      <bottom/>
    </border>
    <border>
      <left/>
      <right/>
      <top style="medium"/>
      <bottom style="thin"/>
    </border>
    <border>
      <left style="medium"/>
      <right/>
      <top style="thin"/>
      <bottom/>
    </border>
    <border>
      <left/>
      <right/>
      <top style="thin"/>
      <bottom/>
    </border>
    <border>
      <left/>
      <right style="medium"/>
      <top style="thin"/>
      <bottom/>
    </border>
    <border>
      <left style="medium"/>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right style="thin"/>
      <top style="thin"/>
      <bottom/>
    </border>
    <border>
      <left style="medium"/>
      <right/>
      <top style="thin"/>
      <bottom style="thin"/>
    </border>
    <border>
      <left/>
      <right style="medium"/>
      <top style="thin"/>
      <bottom style="thin"/>
    </border>
    <border>
      <left style="thin"/>
      <right/>
      <top style="thin"/>
      <bottom style="medium"/>
    </border>
    <border>
      <left/>
      <right style="thin"/>
      <top style="thin"/>
      <bottom style="medium"/>
    </border>
    <border>
      <left style="medium"/>
      <right/>
      <top style="thin"/>
      <bottom style="mediu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6" fillId="25" borderId="0" applyNumberFormat="0" applyBorder="0" applyAlignment="0" applyProtection="0"/>
    <xf numFmtId="0" fontId="43" fillId="26" borderId="0" applyNumberFormat="0" applyBorder="0" applyAlignment="0" applyProtection="0"/>
    <xf numFmtId="0" fontId="6" fillId="17" borderId="0" applyNumberFormat="0" applyBorder="0" applyAlignment="0" applyProtection="0"/>
    <xf numFmtId="0" fontId="43" fillId="27" borderId="0" applyNumberFormat="0" applyBorder="0" applyAlignment="0" applyProtection="0"/>
    <xf numFmtId="0" fontId="6" fillId="19" borderId="0" applyNumberFormat="0" applyBorder="0" applyAlignment="0" applyProtection="0"/>
    <xf numFmtId="0" fontId="43" fillId="28" borderId="0" applyNumberFormat="0" applyBorder="0" applyAlignment="0" applyProtection="0"/>
    <xf numFmtId="0" fontId="6" fillId="29" borderId="0" applyNumberFormat="0" applyBorder="0" applyAlignment="0" applyProtection="0"/>
    <xf numFmtId="0" fontId="43" fillId="30" borderId="0" applyNumberFormat="0" applyBorder="0" applyAlignment="0" applyProtection="0"/>
    <xf numFmtId="0" fontId="6" fillId="31" borderId="0" applyNumberFormat="0" applyBorder="0" applyAlignment="0" applyProtection="0"/>
    <xf numFmtId="0" fontId="43" fillId="32" borderId="0" applyNumberFormat="0" applyBorder="0" applyAlignment="0" applyProtection="0"/>
    <xf numFmtId="0" fontId="6" fillId="33" borderId="0" applyNumberFormat="0" applyBorder="0" applyAlignment="0" applyProtection="0"/>
    <xf numFmtId="0" fontId="4" fillId="0" borderId="0">
      <alignment/>
      <protection/>
    </xf>
    <xf numFmtId="0" fontId="44" fillId="34" borderId="0" applyNumberFormat="0" applyBorder="0" applyAlignment="0" applyProtection="0"/>
    <xf numFmtId="0" fontId="44" fillId="34" borderId="0" applyNumberFormat="0" applyBorder="0" applyAlignment="0" applyProtection="0"/>
    <xf numFmtId="0" fontId="7" fillId="7" borderId="0" applyNumberFormat="0" applyBorder="0" applyAlignment="0" applyProtection="0"/>
    <xf numFmtId="0" fontId="45" fillId="35" borderId="1" applyNumberFormat="0" applyAlignment="0" applyProtection="0"/>
    <xf numFmtId="0" fontId="8" fillId="36" borderId="2" applyNumberFormat="0" applyAlignment="0" applyProtection="0"/>
    <xf numFmtId="0" fontId="46" fillId="37" borderId="3" applyNumberFormat="0" applyAlignment="0" applyProtection="0"/>
    <xf numFmtId="0" fontId="9" fillId="38" borderId="4" applyNumberFormat="0" applyAlignment="0" applyProtection="0"/>
    <xf numFmtId="0" fontId="47" fillId="0" borderId="5" applyNumberFormat="0" applyFill="0" applyAlignment="0" applyProtection="0"/>
    <xf numFmtId="0" fontId="10" fillId="0" borderId="6" applyNumberFormat="0" applyFill="0" applyAlignment="0" applyProtection="0"/>
    <xf numFmtId="0" fontId="43" fillId="39" borderId="0" applyNumberFormat="0" applyBorder="0" applyAlignment="0" applyProtection="0"/>
    <xf numFmtId="0" fontId="6" fillId="40" borderId="0" applyNumberFormat="0" applyBorder="0" applyAlignment="0" applyProtection="0"/>
    <xf numFmtId="0" fontId="43" fillId="41" borderId="0" applyNumberFormat="0" applyBorder="0" applyAlignment="0" applyProtection="0"/>
    <xf numFmtId="0" fontId="6" fillId="42" borderId="0" applyNumberFormat="0" applyBorder="0" applyAlignment="0" applyProtection="0"/>
    <xf numFmtId="0" fontId="43" fillId="43" borderId="0" applyNumberFormat="0" applyBorder="0" applyAlignment="0" applyProtection="0"/>
    <xf numFmtId="0" fontId="6" fillId="44" borderId="0" applyNumberFormat="0" applyBorder="0" applyAlignment="0" applyProtection="0"/>
    <xf numFmtId="0" fontId="43" fillId="45" borderId="0" applyNumberFormat="0" applyBorder="0" applyAlignment="0" applyProtection="0"/>
    <xf numFmtId="0" fontId="6" fillId="29" borderId="0" applyNumberFormat="0" applyBorder="0" applyAlignment="0" applyProtection="0"/>
    <xf numFmtId="0" fontId="43" fillId="46" borderId="0" applyNumberFormat="0" applyBorder="0" applyAlignment="0" applyProtection="0"/>
    <xf numFmtId="0" fontId="6" fillId="31" borderId="0" applyNumberFormat="0" applyBorder="0" applyAlignment="0" applyProtection="0"/>
    <xf numFmtId="0" fontId="43" fillId="47" borderId="0" applyNumberFormat="0" applyBorder="0" applyAlignment="0" applyProtection="0"/>
    <xf numFmtId="0" fontId="6" fillId="48" borderId="0" applyNumberFormat="0" applyBorder="0" applyAlignment="0" applyProtection="0"/>
    <xf numFmtId="0" fontId="48" fillId="49" borderId="1" applyNumberFormat="0" applyAlignment="0" applyProtection="0"/>
    <xf numFmtId="0" fontId="11" fillId="13" borderId="2" applyNumberFormat="0" applyAlignment="0" applyProtection="0"/>
    <xf numFmtId="167" fontId="5" fillId="0" borderId="0" applyFont="0" applyFill="0" applyBorder="0" applyAlignment="0" applyProtection="0"/>
    <xf numFmtId="0" fontId="49" fillId="50" borderId="0" applyNumberFormat="0" applyBorder="0" applyAlignment="0" applyProtection="0"/>
    <xf numFmtId="0" fontId="12"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0" fontId="50" fillId="51" borderId="0" applyNumberFormat="0" applyBorder="0" applyAlignment="0" applyProtection="0"/>
    <xf numFmtId="0" fontId="13"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53" borderId="7" applyNumberFormat="0" applyFont="0" applyAlignment="0" applyProtection="0"/>
    <xf numFmtId="0" fontId="1" fillId="54"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35" borderId="9" applyNumberFormat="0" applyAlignment="0" applyProtection="0"/>
    <xf numFmtId="0" fontId="14" fillId="36" borderId="10"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18" fillId="0" borderId="12" applyNumberFormat="0" applyFill="0" applyAlignment="0" applyProtection="0"/>
    <xf numFmtId="0" fontId="56" fillId="0" borderId="13" applyNumberFormat="0" applyFill="0" applyAlignment="0" applyProtection="0"/>
    <xf numFmtId="0" fontId="19" fillId="0" borderId="14" applyNumberFormat="0" applyFill="0" applyAlignment="0" applyProtection="0"/>
    <xf numFmtId="0" fontId="57" fillId="0" borderId="15" applyNumberFormat="0" applyFill="0" applyAlignment="0" applyProtection="0"/>
    <xf numFmtId="0" fontId="20" fillId="0" borderId="16" applyNumberFormat="0" applyFill="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58" fillId="0" borderId="17" applyNumberFormat="0" applyFill="0" applyAlignment="0" applyProtection="0"/>
    <xf numFmtId="0" fontId="21" fillId="0" borderId="18" applyNumberFormat="0" applyFill="0" applyAlignment="0" applyProtection="0"/>
    <xf numFmtId="43" fontId="2" fillId="0" borderId="0" applyFont="0" applyFill="0" applyBorder="0" applyAlignment="0" applyProtection="0"/>
  </cellStyleXfs>
  <cellXfs count="451">
    <xf numFmtId="0" fontId="0" fillId="0" borderId="0" xfId="0" applyFont="1" applyAlignment="1">
      <alignment/>
    </xf>
    <xf numFmtId="0" fontId="2" fillId="0" borderId="0" xfId="87">
      <alignment/>
      <protection/>
    </xf>
    <xf numFmtId="49" fontId="3" fillId="36" borderId="19" xfId="87" applyNumberFormat="1" applyFont="1" applyFill="1" applyBorder="1" applyAlignment="1">
      <alignment horizontal="center" vertical="center"/>
      <protection/>
    </xf>
    <xf numFmtId="39" fontId="2" fillId="0" borderId="19" xfId="87" applyNumberFormat="1" applyBorder="1">
      <alignment/>
      <protection/>
    </xf>
    <xf numFmtId="39" fontId="2" fillId="0" borderId="20" xfId="87" applyNumberFormat="1" applyBorder="1">
      <alignment/>
      <protection/>
    </xf>
    <xf numFmtId="39" fontId="2" fillId="0" borderId="21" xfId="87" applyNumberFormat="1" applyBorder="1">
      <alignment/>
      <protection/>
    </xf>
    <xf numFmtId="39" fontId="23" fillId="0" borderId="19" xfId="87" applyNumberFormat="1" applyFont="1" applyBorder="1">
      <alignment/>
      <protection/>
    </xf>
    <xf numFmtId="4" fontId="3" fillId="0" borderId="19" xfId="87" applyNumberFormat="1" applyFont="1" applyBorder="1" applyAlignment="1">
      <alignment horizontal="center"/>
      <protection/>
    </xf>
    <xf numFmtId="0" fontId="2" fillId="0" borderId="19" xfId="87" applyBorder="1">
      <alignment/>
      <protection/>
    </xf>
    <xf numFmtId="170" fontId="2" fillId="0" borderId="0" xfId="87" applyNumberFormat="1">
      <alignment/>
      <protection/>
    </xf>
    <xf numFmtId="0" fontId="2" fillId="0" borderId="0" xfId="87" applyBorder="1">
      <alignment/>
      <protection/>
    </xf>
    <xf numFmtId="0" fontId="2" fillId="0" borderId="0" xfId="87" applyBorder="1" applyAlignment="1">
      <alignment horizontal="center"/>
      <protection/>
    </xf>
    <xf numFmtId="0" fontId="3" fillId="0" borderId="0" xfId="87" applyFont="1" applyBorder="1" applyAlignment="1">
      <alignment horizontal="right"/>
      <protection/>
    </xf>
    <xf numFmtId="0" fontId="2" fillId="36" borderId="0" xfId="87" applyFont="1" applyFill="1">
      <alignment/>
      <protection/>
    </xf>
    <xf numFmtId="0" fontId="3" fillId="36" borderId="19" xfId="87" applyFont="1" applyFill="1" applyBorder="1" applyAlignment="1">
      <alignment horizontal="center" vertical="center" wrapText="1"/>
      <protection/>
    </xf>
    <xf numFmtId="0" fontId="3" fillId="36" borderId="22" xfId="87" applyFont="1" applyFill="1" applyBorder="1" applyAlignment="1">
      <alignment horizontal="center" vertical="center"/>
      <protection/>
    </xf>
    <xf numFmtId="0" fontId="3" fillId="36" borderId="23" xfId="87" applyFont="1" applyFill="1" applyBorder="1" applyAlignment="1">
      <alignment horizontal="right" vertical="center"/>
      <protection/>
    </xf>
    <xf numFmtId="0" fontId="3" fillId="36" borderId="23" xfId="87" applyFont="1" applyFill="1" applyBorder="1" applyAlignment="1">
      <alignment horizontal="center" vertical="center"/>
      <protection/>
    </xf>
    <xf numFmtId="10" fontId="3" fillId="36" borderId="24" xfId="92" applyNumberFormat="1" applyFont="1" applyFill="1" applyBorder="1" applyAlignment="1">
      <alignment horizontal="center" vertical="center"/>
    </xf>
    <xf numFmtId="0" fontId="3" fillId="0" borderId="0" xfId="87" applyFont="1" applyFill="1" applyBorder="1" applyAlignment="1">
      <alignment/>
      <protection/>
    </xf>
    <xf numFmtId="0" fontId="3" fillId="0" borderId="0" xfId="87" applyFont="1" applyFill="1" applyBorder="1" applyAlignment="1">
      <alignment horizontal="left"/>
      <protection/>
    </xf>
    <xf numFmtId="10" fontId="3" fillId="0" borderId="0" xfId="87" applyNumberFormat="1" applyFont="1" applyFill="1" applyBorder="1" applyAlignment="1">
      <alignment horizontal="center"/>
      <protection/>
    </xf>
    <xf numFmtId="10" fontId="2" fillId="0" borderId="0" xfId="87" applyNumberFormat="1" applyBorder="1" applyAlignment="1">
      <alignment horizontal="center"/>
      <protection/>
    </xf>
    <xf numFmtId="2" fontId="2" fillId="0" borderId="0" xfId="87" applyNumberFormat="1" applyBorder="1" applyAlignment="1">
      <alignment horizontal="center"/>
      <protection/>
    </xf>
    <xf numFmtId="0" fontId="2" fillId="0" borderId="0" xfId="87" applyAlignment="1">
      <alignment wrapText="1"/>
      <protection/>
    </xf>
    <xf numFmtId="0" fontId="3" fillId="0" borderId="0" xfId="87" applyFont="1" applyBorder="1">
      <alignment/>
      <protection/>
    </xf>
    <xf numFmtId="0" fontId="2" fillId="0" borderId="0" xfId="87" applyFill="1">
      <alignment/>
      <protection/>
    </xf>
    <xf numFmtId="0" fontId="2" fillId="0" borderId="0" xfId="87" applyFont="1">
      <alignment/>
      <protection/>
    </xf>
    <xf numFmtId="0" fontId="3" fillId="36" borderId="23" xfId="87" applyNumberFormat="1" applyFont="1" applyFill="1" applyBorder="1" applyAlignment="1">
      <alignment horizontal="left" vertical="center"/>
      <protection/>
    </xf>
    <xf numFmtId="10" fontId="2" fillId="0" borderId="0" xfId="87" applyNumberFormat="1" applyFont="1" applyBorder="1" applyAlignment="1">
      <alignment horizontal="center"/>
      <protection/>
    </xf>
    <xf numFmtId="0" fontId="3" fillId="0" borderId="0" xfId="85" applyFont="1" applyAlignment="1">
      <alignment vertical="center"/>
      <protection/>
    </xf>
    <xf numFmtId="2" fontId="59" fillId="36" borderId="19" xfId="87" applyNumberFormat="1" applyFont="1" applyFill="1" applyBorder="1" applyAlignment="1">
      <alignment horizontal="center" vertical="center" wrapText="1"/>
      <protection/>
    </xf>
    <xf numFmtId="2" fontId="29" fillId="0" borderId="19" xfId="85" applyNumberFormat="1" applyFont="1" applyFill="1" applyBorder="1" applyAlignment="1">
      <alignment horizontal="center" vertical="center" wrapText="1"/>
      <protection/>
    </xf>
    <xf numFmtId="2" fontId="30" fillId="0" borderId="19" xfId="85" applyNumberFormat="1" applyFont="1" applyFill="1" applyBorder="1" applyAlignment="1">
      <alignment horizontal="center" vertical="center" wrapText="1"/>
      <protection/>
    </xf>
    <xf numFmtId="0" fontId="60" fillId="0" borderId="0" xfId="0" applyFont="1" applyAlignment="1">
      <alignment vertical="center"/>
    </xf>
    <xf numFmtId="0" fontId="32" fillId="0" borderId="25" xfId="85" applyFont="1" applyBorder="1" applyAlignment="1">
      <alignment horizontal="center" vertical="center"/>
      <protection/>
    </xf>
    <xf numFmtId="168" fontId="32" fillId="0" borderId="26" xfId="85" applyNumberFormat="1" applyFont="1" applyBorder="1" applyAlignment="1">
      <alignment vertical="center"/>
      <protection/>
    </xf>
    <xf numFmtId="0" fontId="32" fillId="0" borderId="26" xfId="85" applyFont="1" applyBorder="1" applyAlignment="1">
      <alignment horizontal="left" vertical="center"/>
      <protection/>
    </xf>
    <xf numFmtId="0" fontId="32" fillId="0" borderId="26" xfId="85" applyFont="1" applyBorder="1" applyAlignment="1">
      <alignment vertical="center"/>
      <protection/>
    </xf>
    <xf numFmtId="0" fontId="30" fillId="36" borderId="0" xfId="87" applyFont="1" applyFill="1" applyAlignment="1">
      <alignment vertical="center"/>
      <protection/>
    </xf>
    <xf numFmtId="0" fontId="30" fillId="36" borderId="19" xfId="87" applyFont="1" applyFill="1" applyBorder="1" applyAlignment="1">
      <alignment horizontal="right" vertical="center" wrapText="1"/>
      <protection/>
    </xf>
    <xf numFmtId="0" fontId="30" fillId="36" borderId="19" xfId="87" applyFont="1" applyFill="1" applyBorder="1" applyAlignment="1">
      <alignment horizontal="center" vertical="center"/>
      <protection/>
    </xf>
    <xf numFmtId="0" fontId="33" fillId="36" borderId="19" xfId="87" applyFont="1" applyFill="1" applyBorder="1" applyAlignment="1">
      <alignment horizontal="center" vertical="center"/>
      <protection/>
    </xf>
    <xf numFmtId="0" fontId="30" fillId="0" borderId="0" xfId="87" applyFont="1" applyBorder="1" applyAlignment="1">
      <alignment horizontal="center" vertical="center"/>
      <protection/>
    </xf>
    <xf numFmtId="0" fontId="30" fillId="0" borderId="0" xfId="87" applyFont="1" applyAlignment="1">
      <alignment vertical="center"/>
      <protection/>
    </xf>
    <xf numFmtId="0" fontId="30" fillId="0" borderId="0" xfId="87" applyFont="1" applyBorder="1" applyAlignment="1">
      <alignment vertical="center"/>
      <protection/>
    </xf>
    <xf numFmtId="2" fontId="30" fillId="0" borderId="19" xfId="87" applyNumberFormat="1" applyFont="1" applyBorder="1" applyAlignment="1">
      <alignment horizontal="right" vertical="center"/>
      <protection/>
    </xf>
    <xf numFmtId="2" fontId="30" fillId="0" borderId="0" xfId="87" applyNumberFormat="1" applyFont="1" applyBorder="1" applyAlignment="1">
      <alignment horizontal="center" vertical="center"/>
      <protection/>
    </xf>
    <xf numFmtId="2" fontId="30" fillId="0" borderId="27" xfId="87" applyNumberFormat="1" applyFont="1" applyBorder="1" applyAlignment="1">
      <alignment horizontal="right" vertical="center"/>
      <protection/>
    </xf>
    <xf numFmtId="2" fontId="30" fillId="0" borderId="28" xfId="87" applyNumberFormat="1" applyFont="1" applyBorder="1" applyAlignment="1">
      <alignment horizontal="right" vertical="center"/>
      <protection/>
    </xf>
    <xf numFmtId="2" fontId="61" fillId="0" borderId="0" xfId="87" applyNumberFormat="1" applyFont="1" applyBorder="1" applyAlignment="1">
      <alignment horizontal="center" vertical="center"/>
      <protection/>
    </xf>
    <xf numFmtId="2" fontId="61" fillId="0" borderId="0" xfId="87" applyNumberFormat="1" applyFont="1" applyBorder="1" applyAlignment="1">
      <alignment horizontal="right" vertical="center"/>
      <protection/>
    </xf>
    <xf numFmtId="0" fontId="29" fillId="0" borderId="0" xfId="85" applyFont="1" applyFill="1" applyBorder="1" applyAlignment="1">
      <alignment horizontal="center" vertical="center" wrapText="1"/>
      <protection/>
    </xf>
    <xf numFmtId="2" fontId="30" fillId="0" borderId="19" xfId="85" applyNumberFormat="1" applyFont="1" applyFill="1" applyBorder="1" applyAlignment="1">
      <alignment horizontal="right" vertical="center" wrapText="1"/>
      <protection/>
    </xf>
    <xf numFmtId="2" fontId="30" fillId="0" borderId="19" xfId="87" applyNumberFormat="1" applyFont="1" applyBorder="1" applyAlignment="1">
      <alignment horizontal="center" vertical="center"/>
      <protection/>
    </xf>
    <xf numFmtId="2" fontId="30" fillId="0" borderId="19" xfId="87" applyNumberFormat="1" applyFont="1" applyFill="1" applyBorder="1" applyAlignment="1">
      <alignment horizontal="right" vertical="center"/>
      <protection/>
    </xf>
    <xf numFmtId="2" fontId="30" fillId="0" borderId="0" xfId="87" applyNumberFormat="1" applyFont="1" applyFill="1" applyBorder="1" applyAlignment="1">
      <alignment horizontal="left" vertical="center" wrapText="1"/>
      <protection/>
    </xf>
    <xf numFmtId="0" fontId="30" fillId="0" borderId="0" xfId="87" applyFont="1" applyAlignment="1">
      <alignment horizontal="center" vertical="center"/>
      <protection/>
    </xf>
    <xf numFmtId="10" fontId="33" fillId="36" borderId="19" xfId="92" applyNumberFormat="1" applyFont="1" applyFill="1" applyBorder="1" applyAlignment="1">
      <alignment horizontal="center" vertical="center"/>
    </xf>
    <xf numFmtId="0" fontId="30" fillId="0" borderId="0" xfId="87" applyFont="1" applyBorder="1" applyAlignment="1">
      <alignment horizontal="justify" vertical="center"/>
      <protection/>
    </xf>
    <xf numFmtId="2" fontId="30" fillId="0" borderId="0" xfId="87" applyNumberFormat="1" applyFont="1" applyBorder="1" applyAlignment="1">
      <alignment horizontal="justify" vertical="center" wrapText="1"/>
      <protection/>
    </xf>
    <xf numFmtId="2" fontId="30" fillId="0" borderId="19" xfId="87" applyNumberFormat="1" applyFont="1" applyBorder="1" applyAlignment="1">
      <alignment vertical="center"/>
      <protection/>
    </xf>
    <xf numFmtId="2" fontId="30" fillId="0" borderId="21" xfId="87" applyNumberFormat="1" applyFont="1" applyBorder="1" applyAlignment="1">
      <alignment vertical="center"/>
      <protection/>
    </xf>
    <xf numFmtId="2" fontId="33" fillId="0" borderId="0" xfId="87" applyNumberFormat="1" applyFont="1" applyBorder="1" applyAlignment="1">
      <alignment horizontal="justify" vertical="center" wrapText="1"/>
      <protection/>
    </xf>
    <xf numFmtId="2" fontId="30" fillId="0" borderId="29" xfId="87" applyNumberFormat="1" applyFont="1" applyBorder="1" applyAlignment="1">
      <alignment vertical="center"/>
      <protection/>
    </xf>
    <xf numFmtId="2" fontId="30" fillId="0" borderId="30" xfId="87" applyNumberFormat="1" applyFont="1" applyBorder="1" applyAlignment="1">
      <alignment vertical="center"/>
      <protection/>
    </xf>
    <xf numFmtId="2" fontId="30" fillId="0" borderId="0" xfId="85" applyNumberFormat="1" applyFont="1" applyFill="1" applyBorder="1" applyAlignment="1">
      <alignment horizontal="center" vertical="center" wrapText="1"/>
      <protection/>
    </xf>
    <xf numFmtId="2" fontId="30" fillId="0" borderId="31" xfId="87" applyNumberFormat="1" applyFont="1" applyBorder="1" applyAlignment="1">
      <alignment vertical="center"/>
      <protection/>
    </xf>
    <xf numFmtId="2" fontId="30" fillId="0" borderId="32" xfId="87" applyNumberFormat="1" applyFont="1" applyBorder="1" applyAlignment="1">
      <alignment vertical="center"/>
      <protection/>
    </xf>
    <xf numFmtId="2" fontId="30" fillId="0" borderId="0" xfId="85" applyNumberFormat="1" applyFont="1" applyFill="1" applyBorder="1" applyAlignment="1">
      <alignment horizontal="right" vertical="center" wrapText="1"/>
      <protection/>
    </xf>
    <xf numFmtId="2" fontId="30" fillId="0" borderId="0" xfId="87" applyNumberFormat="1" applyFont="1" applyFill="1" applyBorder="1" applyAlignment="1">
      <alignment horizontal="center" vertical="center"/>
      <protection/>
    </xf>
    <xf numFmtId="2" fontId="33" fillId="0" borderId="0" xfId="87" applyNumberFormat="1" applyFont="1" applyBorder="1" applyAlignment="1">
      <alignment horizontal="left" vertical="center"/>
      <protection/>
    </xf>
    <xf numFmtId="2" fontId="30" fillId="0" borderId="0" xfId="87" applyNumberFormat="1" applyFont="1" applyBorder="1" applyAlignment="1">
      <alignment horizontal="right" vertical="center"/>
      <protection/>
    </xf>
    <xf numFmtId="2" fontId="30" fillId="0" borderId="0" xfId="87" applyNumberFormat="1" applyFont="1" applyBorder="1" applyAlignment="1">
      <alignment horizontal="left" vertical="center" wrapText="1"/>
      <protection/>
    </xf>
    <xf numFmtId="0" fontId="35" fillId="36" borderId="33" xfId="87" applyFont="1" applyFill="1" applyBorder="1" applyAlignment="1">
      <alignment horizontal="center" vertical="center" wrapText="1"/>
      <protection/>
    </xf>
    <xf numFmtId="2" fontId="30" fillId="0" borderId="0" xfId="87" applyNumberFormat="1" applyFont="1" applyBorder="1" applyAlignment="1">
      <alignment vertical="center"/>
      <protection/>
    </xf>
    <xf numFmtId="2" fontId="30" fillId="0" borderId="0" xfId="87" applyNumberFormat="1" applyFont="1" applyBorder="1" applyAlignment="1">
      <alignment vertical="center" wrapText="1"/>
      <protection/>
    </xf>
    <xf numFmtId="2" fontId="30" fillId="0" borderId="0" xfId="87" applyNumberFormat="1" applyFont="1" applyBorder="1" applyAlignment="1">
      <alignment horizontal="right" vertical="center"/>
      <protection/>
    </xf>
    <xf numFmtId="2" fontId="30" fillId="0" borderId="19" xfId="87" applyNumberFormat="1" applyFont="1" applyBorder="1" applyAlignment="1">
      <alignment horizontal="right"/>
      <protection/>
    </xf>
    <xf numFmtId="2" fontId="30" fillId="0" borderId="0" xfId="87" applyNumberFormat="1" applyFont="1" applyBorder="1" applyAlignment="1">
      <alignment horizontal="center"/>
      <protection/>
    </xf>
    <xf numFmtId="2" fontId="30" fillId="0" borderId="21" xfId="87" applyNumberFormat="1" applyFont="1" applyBorder="1" applyAlignment="1">
      <alignment horizontal="right"/>
      <protection/>
    </xf>
    <xf numFmtId="49" fontId="33" fillId="0" borderId="0" xfId="87" applyNumberFormat="1" applyFont="1" applyBorder="1" applyAlignment="1">
      <alignment horizontal="center" vertical="center"/>
      <protection/>
    </xf>
    <xf numFmtId="0" fontId="30" fillId="0" borderId="34" xfId="87" applyFont="1" applyBorder="1" applyAlignment="1">
      <alignment vertical="center"/>
      <protection/>
    </xf>
    <xf numFmtId="0" fontId="35" fillId="36" borderId="19" xfId="87" applyFont="1" applyFill="1" applyBorder="1" applyAlignment="1">
      <alignment horizontal="center" vertical="center" wrapText="1"/>
      <protection/>
    </xf>
    <xf numFmtId="2" fontId="30" fillId="0" borderId="0" xfId="87" applyNumberFormat="1" applyFont="1" applyBorder="1" applyAlignment="1">
      <alignment horizontal="right"/>
      <protection/>
    </xf>
    <xf numFmtId="0" fontId="30" fillId="36" borderId="35" xfId="87" applyFont="1" applyFill="1" applyBorder="1" applyAlignment="1">
      <alignment vertical="center"/>
      <protection/>
    </xf>
    <xf numFmtId="0" fontId="30" fillId="36" borderId="28" xfId="87" applyFont="1" applyFill="1" applyBorder="1" applyAlignment="1">
      <alignment vertical="center"/>
      <protection/>
    </xf>
    <xf numFmtId="0" fontId="30" fillId="0" borderId="28" xfId="87" applyFont="1" applyBorder="1" applyAlignment="1">
      <alignment vertical="center"/>
      <protection/>
    </xf>
    <xf numFmtId="0" fontId="30" fillId="0" borderId="26" xfId="87" applyFont="1" applyBorder="1" applyAlignment="1">
      <alignment horizontal="center" vertical="center"/>
      <protection/>
    </xf>
    <xf numFmtId="0" fontId="30" fillId="0" borderId="36" xfId="87" applyFont="1" applyBorder="1" applyAlignment="1">
      <alignment vertical="center"/>
      <protection/>
    </xf>
    <xf numFmtId="0" fontId="30" fillId="0" borderId="0" xfId="87" applyFont="1" applyFill="1" applyAlignment="1">
      <alignment vertical="center"/>
      <protection/>
    </xf>
    <xf numFmtId="0" fontId="30" fillId="36" borderId="37" xfId="87" applyFont="1" applyFill="1" applyBorder="1" applyAlignment="1">
      <alignment vertical="center"/>
      <protection/>
    </xf>
    <xf numFmtId="0" fontId="30" fillId="36" borderId="34" xfId="87" applyFont="1" applyFill="1" applyBorder="1" applyAlignment="1">
      <alignment vertical="center"/>
      <protection/>
    </xf>
    <xf numFmtId="0" fontId="30" fillId="0" borderId="25" xfId="87" applyFont="1" applyBorder="1" applyAlignment="1">
      <alignment vertical="center"/>
      <protection/>
    </xf>
    <xf numFmtId="0" fontId="30" fillId="0" borderId="26" xfId="87" applyFont="1" applyBorder="1" applyAlignment="1">
      <alignment vertical="center"/>
      <protection/>
    </xf>
    <xf numFmtId="2" fontId="29" fillId="0" borderId="34" xfId="85" applyNumberFormat="1" applyFont="1" applyFill="1" applyBorder="1" applyAlignment="1">
      <alignment horizontal="center" vertical="center" wrapText="1"/>
      <protection/>
    </xf>
    <xf numFmtId="0" fontId="0" fillId="0" borderId="0" xfId="0" applyFont="1" applyAlignment="1">
      <alignment vertical="center"/>
    </xf>
    <xf numFmtId="166" fontId="0" fillId="0" borderId="0" xfId="0" applyNumberFormat="1" applyFont="1" applyAlignment="1">
      <alignment vertical="center"/>
    </xf>
    <xf numFmtId="166" fontId="29" fillId="0" borderId="19" xfId="85" applyNumberFormat="1" applyFont="1" applyFill="1" applyBorder="1" applyAlignment="1">
      <alignment horizontal="left" vertical="center" wrapText="1"/>
      <protection/>
    </xf>
    <xf numFmtId="0" fontId="0" fillId="0" borderId="0" xfId="0" applyFont="1" applyAlignment="1">
      <alignment horizontal="center" vertical="center"/>
    </xf>
    <xf numFmtId="0" fontId="0" fillId="0" borderId="0" xfId="0" applyFont="1" applyAlignment="1">
      <alignment horizontal="left" vertical="center"/>
    </xf>
    <xf numFmtId="43" fontId="36" fillId="36" borderId="19" xfId="117" applyFont="1" applyFill="1" applyBorder="1" applyAlignment="1">
      <alignment horizontal="center" vertical="center" wrapText="1"/>
    </xf>
    <xf numFmtId="0" fontId="36" fillId="36" borderId="19" xfId="85" applyFont="1" applyFill="1" applyBorder="1" applyAlignment="1">
      <alignment horizontal="center" vertical="center" wrapText="1"/>
      <protection/>
    </xf>
    <xf numFmtId="1" fontId="30" fillId="0" borderId="19" xfId="85" applyNumberFormat="1" applyFont="1" applyFill="1" applyBorder="1" applyAlignment="1" applyProtection="1">
      <alignment horizontal="center" vertical="center" wrapText="1"/>
      <protection locked="0"/>
    </xf>
    <xf numFmtId="0" fontId="30" fillId="0" borderId="19" xfId="85" applyFont="1" applyFill="1" applyBorder="1" applyAlignment="1" applyProtection="1">
      <alignment horizontal="left" vertical="center" wrapText="1"/>
      <protection locked="0"/>
    </xf>
    <xf numFmtId="0" fontId="30" fillId="0" borderId="19" xfId="85" applyFont="1" applyFill="1" applyBorder="1" applyAlignment="1" applyProtection="1">
      <alignment horizontal="center" vertical="center"/>
      <protection locked="0"/>
    </xf>
    <xf numFmtId="49" fontId="30" fillId="0" borderId="38" xfId="85" applyNumberFormat="1" applyFont="1" applyFill="1" applyBorder="1" applyAlignment="1">
      <alignment horizontal="center" vertical="center" wrapText="1"/>
      <protection/>
    </xf>
    <xf numFmtId="1" fontId="30" fillId="0" borderId="19" xfId="85" applyNumberFormat="1" applyFont="1" applyFill="1" applyBorder="1" applyAlignment="1">
      <alignment horizontal="center" vertical="center" wrapText="1"/>
      <protection/>
    </xf>
    <xf numFmtId="0" fontId="29" fillId="0" borderId="19" xfId="85" applyFont="1" applyFill="1" applyBorder="1" applyAlignment="1">
      <alignment horizontal="left" vertical="center" wrapText="1"/>
      <protection/>
    </xf>
    <xf numFmtId="0" fontId="30" fillId="0" borderId="19" xfId="85" applyFont="1" applyFill="1" applyBorder="1" applyAlignment="1">
      <alignment horizontal="center" vertical="center" wrapText="1"/>
      <protection/>
    </xf>
    <xf numFmtId="0" fontId="29" fillId="0" borderId="19" xfId="85" applyFont="1" applyFill="1" applyBorder="1" applyAlignment="1">
      <alignment horizontal="center" vertical="center" wrapText="1"/>
      <protection/>
    </xf>
    <xf numFmtId="0" fontId="30" fillId="0" borderId="38" xfId="85" applyFont="1" applyFill="1" applyBorder="1" applyAlignment="1">
      <alignment horizontal="center" vertical="center"/>
      <protection/>
    </xf>
    <xf numFmtId="1" fontId="30" fillId="0" borderId="19" xfId="85" applyNumberFormat="1" applyFont="1" applyFill="1" applyBorder="1" applyAlignment="1">
      <alignment vertical="center"/>
      <protection/>
    </xf>
    <xf numFmtId="0" fontId="30" fillId="0" borderId="19" xfId="85" applyFont="1" applyFill="1" applyBorder="1" applyAlignment="1">
      <alignment horizontal="left" vertical="center"/>
      <protection/>
    </xf>
    <xf numFmtId="0" fontId="30" fillId="0" borderId="19" xfId="85" applyFont="1" applyFill="1" applyBorder="1" applyAlignment="1">
      <alignment vertical="center"/>
      <protection/>
    </xf>
    <xf numFmtId="2" fontId="30" fillId="0" borderId="38" xfId="85" applyNumberFormat="1" applyFont="1" applyFill="1" applyBorder="1" applyAlignment="1">
      <alignment horizontal="center" vertical="center" wrapText="1"/>
      <protection/>
    </xf>
    <xf numFmtId="0" fontId="30" fillId="0" borderId="19" xfId="85" applyFont="1" applyFill="1" applyBorder="1" applyAlignment="1">
      <alignment horizontal="center" vertical="center"/>
      <protection/>
    </xf>
    <xf numFmtId="166" fontId="29" fillId="0" borderId="19" xfId="85" applyNumberFormat="1" applyFont="1" applyFill="1" applyBorder="1" applyAlignment="1">
      <alignment horizontal="center" vertical="center" wrapText="1"/>
      <protection/>
    </xf>
    <xf numFmtId="2" fontId="30" fillId="0" borderId="38" xfId="85" applyNumberFormat="1" applyFont="1" applyFill="1" applyBorder="1" applyAlignment="1">
      <alignment horizontal="center" vertical="center"/>
      <protection/>
    </xf>
    <xf numFmtId="2" fontId="29" fillId="0" borderId="19" xfId="85" applyNumberFormat="1" applyFont="1" applyFill="1" applyBorder="1" applyAlignment="1">
      <alignment horizontal="center" vertical="center"/>
      <protection/>
    </xf>
    <xf numFmtId="0" fontId="62" fillId="0" borderId="38" xfId="0" applyFont="1" applyFill="1" applyBorder="1" applyAlignment="1">
      <alignment horizontal="center" vertical="center"/>
    </xf>
    <xf numFmtId="1" fontId="62" fillId="0" borderId="19" xfId="0" applyNumberFormat="1" applyFont="1" applyFill="1" applyBorder="1" applyAlignment="1">
      <alignment vertical="center"/>
    </xf>
    <xf numFmtId="0" fontId="62" fillId="0" borderId="19" xfId="0" applyFont="1" applyFill="1" applyBorder="1" applyAlignment="1">
      <alignment horizontal="left" vertical="center"/>
    </xf>
    <xf numFmtId="0" fontId="62" fillId="0" borderId="19" xfId="0" applyFont="1" applyFill="1" applyBorder="1" applyAlignment="1">
      <alignment vertical="center"/>
    </xf>
    <xf numFmtId="49" fontId="30" fillId="0" borderId="38" xfId="85" applyNumberFormat="1" applyFont="1" applyFill="1" applyBorder="1" applyAlignment="1">
      <alignment horizontal="center" vertical="center"/>
      <protection/>
    </xf>
    <xf numFmtId="1" fontId="30" fillId="0" borderId="19" xfId="85" applyNumberFormat="1" applyFont="1" applyFill="1" applyBorder="1" applyAlignment="1">
      <alignment horizontal="center" vertical="center"/>
      <protection/>
    </xf>
    <xf numFmtId="39" fontId="29" fillId="0" borderId="19" xfId="85" applyNumberFormat="1" applyFont="1" applyFill="1" applyBorder="1" applyAlignment="1">
      <alignment horizontal="center" vertical="center" wrapText="1"/>
      <protection/>
    </xf>
    <xf numFmtId="39" fontId="29" fillId="0" borderId="19" xfId="85" applyNumberFormat="1" applyFont="1" applyFill="1" applyBorder="1" applyAlignment="1">
      <alignment horizontal="center" vertical="center"/>
      <protection/>
    </xf>
    <xf numFmtId="49" fontId="33" fillId="0" borderId="38" xfId="85" applyNumberFormat="1" applyFont="1" applyFill="1" applyBorder="1" applyAlignment="1">
      <alignment horizontal="center" vertical="center"/>
      <protection/>
    </xf>
    <xf numFmtId="1" fontId="33" fillId="0" borderId="19" xfId="85" applyNumberFormat="1" applyFont="1" applyFill="1" applyBorder="1" applyAlignment="1">
      <alignment horizontal="center" vertical="center"/>
      <protection/>
    </xf>
    <xf numFmtId="0" fontId="33" fillId="0" borderId="19" xfId="85" applyFont="1" applyFill="1" applyBorder="1" applyAlignment="1">
      <alignment horizontal="left" vertical="center" wrapText="1"/>
      <protection/>
    </xf>
    <xf numFmtId="0" fontId="29" fillId="0" borderId="19" xfId="85" applyFont="1" applyFill="1" applyBorder="1" applyAlignment="1">
      <alignment horizontal="center" vertical="center"/>
      <protection/>
    </xf>
    <xf numFmtId="166" fontId="29" fillId="0" borderId="19" xfId="85" applyNumberFormat="1" applyFont="1" applyFill="1" applyBorder="1" applyAlignment="1">
      <alignment horizontal="center" vertical="center"/>
      <protection/>
    </xf>
    <xf numFmtId="0" fontId="30" fillId="0" borderId="19" xfId="85" applyFont="1" applyFill="1" applyBorder="1" applyAlignment="1">
      <alignment horizontal="left" vertical="center" wrapText="1"/>
      <protection/>
    </xf>
    <xf numFmtId="0" fontId="30" fillId="0" borderId="19" xfId="85" applyNumberFormat="1" applyFont="1" applyFill="1" applyBorder="1" applyAlignment="1">
      <alignment horizontal="center" vertical="center"/>
      <protection/>
    </xf>
    <xf numFmtId="168" fontId="30" fillId="0" borderId="19" xfId="85" applyNumberFormat="1" applyFont="1" applyFill="1" applyBorder="1" applyAlignment="1">
      <alignment horizontal="center" vertical="center"/>
      <protection/>
    </xf>
    <xf numFmtId="168" fontId="30" fillId="0" borderId="19" xfId="85" applyNumberFormat="1" applyFont="1" applyFill="1" applyBorder="1" applyAlignment="1">
      <alignment vertical="center"/>
      <protection/>
    </xf>
    <xf numFmtId="4" fontId="29" fillId="0" borderId="19" xfId="85" applyNumberFormat="1" applyFont="1" applyFill="1" applyBorder="1" applyAlignment="1">
      <alignment horizontal="center" vertical="center"/>
      <protection/>
    </xf>
    <xf numFmtId="49" fontId="33" fillId="0" borderId="38" xfId="85" applyNumberFormat="1" applyFont="1" applyBorder="1" applyAlignment="1">
      <alignment horizontal="center" vertical="center"/>
      <protection/>
    </xf>
    <xf numFmtId="168" fontId="33" fillId="0" borderId="19" xfId="85" applyNumberFormat="1" applyFont="1" applyBorder="1" applyAlignment="1">
      <alignment horizontal="center" vertical="center"/>
      <protection/>
    </xf>
    <xf numFmtId="0" fontId="33" fillId="0" borderId="19" xfId="85" applyFont="1" applyBorder="1" applyAlignment="1">
      <alignment horizontal="left" vertical="center" wrapText="1"/>
      <protection/>
    </xf>
    <xf numFmtId="0" fontId="33" fillId="0" borderId="19" xfId="85" applyFont="1" applyBorder="1" applyAlignment="1">
      <alignment vertical="center"/>
      <protection/>
    </xf>
    <xf numFmtId="0" fontId="30" fillId="0" borderId="38" xfId="85" applyFont="1" applyBorder="1" applyAlignment="1">
      <alignment horizontal="center" vertical="center"/>
      <protection/>
    </xf>
    <xf numFmtId="168" fontId="30" fillId="0" borderId="19" xfId="85" applyNumberFormat="1" applyFont="1" applyBorder="1" applyAlignment="1">
      <alignment vertical="center"/>
      <protection/>
    </xf>
    <xf numFmtId="0" fontId="30" fillId="0" borderId="19" xfId="85" applyFont="1" applyBorder="1" applyAlignment="1">
      <alignment horizontal="left" vertical="center"/>
      <protection/>
    </xf>
    <xf numFmtId="0" fontId="30" fillId="0" borderId="19" xfId="85" applyFont="1" applyBorder="1" applyAlignment="1">
      <alignment vertical="center"/>
      <protection/>
    </xf>
    <xf numFmtId="0" fontId="30" fillId="0" borderId="19" xfId="85" applyFont="1" applyBorder="1" applyAlignment="1">
      <alignment horizontal="center" vertical="center" wrapText="1"/>
      <protection/>
    </xf>
    <xf numFmtId="0" fontId="30" fillId="0" borderId="34" xfId="85" applyFont="1" applyBorder="1" applyAlignment="1">
      <alignment horizontal="center" vertical="center"/>
      <protection/>
    </xf>
    <xf numFmtId="168" fontId="30" fillId="0" borderId="0" xfId="85" applyNumberFormat="1" applyFont="1" applyBorder="1" applyAlignment="1">
      <alignment vertical="center"/>
      <protection/>
    </xf>
    <xf numFmtId="0" fontId="36" fillId="36" borderId="19" xfId="85" applyFont="1" applyFill="1" applyBorder="1" applyAlignment="1">
      <alignment horizontal="right" vertical="center" wrapText="1"/>
      <protection/>
    </xf>
    <xf numFmtId="49" fontId="33" fillId="55" borderId="38" xfId="85" applyNumberFormat="1" applyFont="1" applyFill="1" applyBorder="1" applyAlignment="1" applyProtection="1">
      <alignment horizontal="center" vertical="center" wrapText="1"/>
      <protection locked="0"/>
    </xf>
    <xf numFmtId="49" fontId="33" fillId="55" borderId="19" xfId="85" applyNumberFormat="1" applyFont="1" applyFill="1" applyBorder="1" applyAlignment="1" applyProtection="1">
      <alignment horizontal="center" vertical="center" wrapText="1"/>
      <protection locked="0"/>
    </xf>
    <xf numFmtId="0" fontId="33" fillId="55" borderId="19" xfId="85" applyFont="1" applyFill="1" applyBorder="1" applyAlignment="1" applyProtection="1">
      <alignment horizontal="left" vertical="center" wrapText="1"/>
      <protection locked="0"/>
    </xf>
    <xf numFmtId="0" fontId="33" fillId="55" borderId="19" xfId="85" applyFont="1" applyFill="1" applyBorder="1" applyAlignment="1" applyProtection="1">
      <alignment vertical="center"/>
      <protection locked="0"/>
    </xf>
    <xf numFmtId="49" fontId="30" fillId="0" borderId="38" xfId="85" applyNumberFormat="1" applyFont="1" applyFill="1" applyBorder="1" applyAlignment="1" applyProtection="1">
      <alignment horizontal="center" vertical="center" wrapText="1"/>
      <protection locked="0"/>
    </xf>
    <xf numFmtId="2" fontId="30" fillId="0" borderId="19" xfId="87" applyNumberFormat="1" applyFont="1" applyBorder="1" applyAlignment="1">
      <alignment horizontal="left" vertical="center" wrapText="1"/>
      <protection/>
    </xf>
    <xf numFmtId="166" fontId="30" fillId="0" borderId="19" xfId="85" applyNumberFormat="1" applyFont="1" applyFill="1" applyBorder="1" applyAlignment="1">
      <alignment horizontal="left" vertical="center" wrapText="1"/>
      <protection/>
    </xf>
    <xf numFmtId="0" fontId="3" fillId="0" borderId="20" xfId="87" applyFont="1" applyBorder="1" applyAlignment="1">
      <alignment horizontal="left"/>
      <protection/>
    </xf>
    <xf numFmtId="166" fontId="30" fillId="0" borderId="19" xfId="85" applyNumberFormat="1" applyFont="1" applyFill="1" applyBorder="1" applyAlignment="1">
      <alignment horizontal="left" vertical="center"/>
      <protection/>
    </xf>
    <xf numFmtId="2" fontId="30" fillId="0" borderId="19" xfId="87" applyNumberFormat="1" applyFont="1" applyFill="1" applyBorder="1" applyAlignment="1">
      <alignment horizontal="left" vertical="center" wrapText="1"/>
      <protection/>
    </xf>
    <xf numFmtId="10" fontId="33" fillId="55" borderId="19" xfId="90" applyNumberFormat="1" applyFont="1" applyFill="1" applyBorder="1" applyAlignment="1" applyProtection="1">
      <alignment vertical="center"/>
      <protection locked="0"/>
    </xf>
    <xf numFmtId="0" fontId="36" fillId="36" borderId="19" xfId="85" applyFont="1" applyFill="1" applyBorder="1" applyAlignment="1">
      <alignment horizontal="center" vertical="center"/>
      <protection/>
    </xf>
    <xf numFmtId="2" fontId="36" fillId="36" borderId="27" xfId="85" applyNumberFormat="1" applyFont="1" applyFill="1" applyBorder="1" applyAlignment="1">
      <alignment horizontal="center" vertical="center" wrapText="1"/>
      <protection/>
    </xf>
    <xf numFmtId="0" fontId="36" fillId="36" borderId="27" xfId="85" applyFont="1" applyFill="1" applyBorder="1" applyAlignment="1">
      <alignment horizontal="center" vertical="center"/>
      <protection/>
    </xf>
    <xf numFmtId="166" fontId="63" fillId="55" borderId="27" xfId="85" applyNumberFormat="1" applyFont="1" applyFill="1" applyBorder="1" applyAlignment="1" applyProtection="1">
      <alignment vertical="center"/>
      <protection locked="0"/>
    </xf>
    <xf numFmtId="166" fontId="33" fillId="0" borderId="27" xfId="85" applyNumberFormat="1" applyFont="1" applyFill="1" applyBorder="1" applyAlignment="1" applyProtection="1">
      <alignment vertical="center"/>
      <protection locked="0"/>
    </xf>
    <xf numFmtId="166" fontId="30" fillId="0" borderId="27" xfId="85" applyNumberFormat="1" applyFont="1" applyFill="1" applyBorder="1" applyAlignment="1" applyProtection="1">
      <alignment vertical="center"/>
      <protection locked="0"/>
    </xf>
    <xf numFmtId="0" fontId="30" fillId="0" borderId="27" xfId="85" applyFont="1" applyFill="1" applyBorder="1" applyAlignment="1">
      <alignment vertical="center"/>
      <protection/>
    </xf>
    <xf numFmtId="166" fontId="33" fillId="0" borderId="27" xfId="85" applyNumberFormat="1" applyFont="1" applyBorder="1" applyAlignment="1">
      <alignment vertical="center"/>
      <protection/>
    </xf>
    <xf numFmtId="0" fontId="33" fillId="0" borderId="27" xfId="85" applyFont="1" applyBorder="1" applyAlignment="1">
      <alignment vertical="center"/>
      <protection/>
    </xf>
    <xf numFmtId="0" fontId="30" fillId="0" borderId="27" xfId="85" applyFont="1" applyBorder="1" applyAlignment="1">
      <alignment vertical="center"/>
      <protection/>
    </xf>
    <xf numFmtId="166" fontId="30" fillId="0" borderId="27" xfId="85" applyNumberFormat="1" applyFont="1" applyBorder="1" applyAlignment="1">
      <alignment vertical="center"/>
      <protection/>
    </xf>
    <xf numFmtId="0" fontId="32" fillId="0" borderId="36" xfId="85" applyFont="1" applyBorder="1" applyAlignment="1">
      <alignment vertical="center"/>
      <protection/>
    </xf>
    <xf numFmtId="10" fontId="36" fillId="36" borderId="27" xfId="85" applyNumberFormat="1" applyFont="1" applyFill="1" applyBorder="1" applyAlignment="1">
      <alignment horizontal="right" vertical="center" wrapText="1"/>
      <protection/>
    </xf>
    <xf numFmtId="17" fontId="36" fillId="36" borderId="20" xfId="85" applyNumberFormat="1" applyFont="1" applyFill="1" applyBorder="1" applyAlignment="1">
      <alignment vertical="center" wrapText="1"/>
      <protection/>
    </xf>
    <xf numFmtId="0" fontId="30" fillId="0" borderId="0" xfId="85" applyFont="1" applyFill="1" applyBorder="1" applyAlignment="1">
      <alignment horizontal="left" vertical="center" wrapText="1"/>
      <protection/>
    </xf>
    <xf numFmtId="0" fontId="2" fillId="0" borderId="20" xfId="87" applyBorder="1" applyAlignment="1">
      <alignment horizontal="left"/>
      <protection/>
    </xf>
    <xf numFmtId="0" fontId="2" fillId="0" borderId="38" xfId="87" applyBorder="1" applyAlignment="1">
      <alignment horizontal="center"/>
      <protection/>
    </xf>
    <xf numFmtId="0" fontId="3" fillId="0" borderId="38" xfId="87" applyFont="1" applyBorder="1" applyAlignment="1">
      <alignment horizontal="center"/>
      <protection/>
    </xf>
    <xf numFmtId="10" fontId="2" fillId="0" borderId="27" xfId="87" applyNumberFormat="1" applyFont="1" applyBorder="1" applyAlignment="1">
      <alignment horizontal="center"/>
      <protection/>
    </xf>
    <xf numFmtId="10" fontId="2" fillId="56" borderId="27" xfId="87" applyNumberFormat="1" applyFont="1" applyFill="1" applyBorder="1" applyAlignment="1">
      <alignment horizontal="center"/>
      <protection/>
    </xf>
    <xf numFmtId="0" fontId="2" fillId="0" borderId="34" xfId="87" applyBorder="1">
      <alignment/>
      <protection/>
    </xf>
    <xf numFmtId="0" fontId="2" fillId="0" borderId="27" xfId="87" applyFont="1" applyFill="1" applyBorder="1">
      <alignment/>
      <protection/>
    </xf>
    <xf numFmtId="10" fontId="3" fillId="0" borderId="39" xfId="92" applyNumberFormat="1" applyFont="1" applyFill="1" applyBorder="1" applyAlignment="1">
      <alignment horizontal="center"/>
    </xf>
    <xf numFmtId="0" fontId="2" fillId="0" borderId="40" xfId="87" applyBorder="1" applyAlignment="1">
      <alignment horizontal="center"/>
      <protection/>
    </xf>
    <xf numFmtId="0" fontId="2" fillId="0" borderId="41" xfId="87" applyBorder="1" applyAlignment="1">
      <alignment horizontal="center"/>
      <protection/>
    </xf>
    <xf numFmtId="0" fontId="2" fillId="0" borderId="42" xfId="87" applyFont="1" applyBorder="1" applyAlignment="1">
      <alignment horizontal="center"/>
      <protection/>
    </xf>
    <xf numFmtId="0" fontId="3" fillId="0" borderId="43" xfId="87" applyFont="1" applyBorder="1" applyAlignment="1">
      <alignment horizontal="center"/>
      <protection/>
    </xf>
    <xf numFmtId="0" fontId="3" fillId="0" borderId="44" xfId="87" applyFont="1" applyBorder="1" applyAlignment="1">
      <alignment horizontal="center"/>
      <protection/>
    </xf>
    <xf numFmtId="0" fontId="3" fillId="0" borderId="45" xfId="87" applyFont="1" applyBorder="1" applyAlignment="1">
      <alignment horizontal="center"/>
      <protection/>
    </xf>
    <xf numFmtId="0" fontId="2" fillId="0" borderId="0" xfId="87" applyFont="1" applyFill="1">
      <alignment/>
      <protection/>
    </xf>
    <xf numFmtId="0" fontId="2" fillId="0" borderId="0" xfId="87" applyFill="1" applyAlignment="1">
      <alignment wrapText="1"/>
      <protection/>
    </xf>
    <xf numFmtId="0" fontId="2" fillId="0" borderId="38" xfId="87" applyFont="1" applyBorder="1" applyAlignment="1">
      <alignment horizontal="center"/>
      <protection/>
    </xf>
    <xf numFmtId="0" fontId="2" fillId="0" borderId="0" xfId="87" applyFont="1" applyAlignment="1">
      <alignment wrapText="1"/>
      <protection/>
    </xf>
    <xf numFmtId="39" fontId="64" fillId="0" borderId="29" xfId="87" applyNumberFormat="1" applyFont="1" applyBorder="1">
      <alignment/>
      <protection/>
    </xf>
    <xf numFmtId="39" fontId="64" fillId="0" borderId="29" xfId="87" applyNumberFormat="1" applyFont="1" applyBorder="1" applyAlignment="1">
      <alignment horizontal="center" vertical="center"/>
      <protection/>
    </xf>
    <xf numFmtId="39" fontId="64" fillId="0" borderId="30" xfId="87" applyNumberFormat="1" applyFont="1" applyBorder="1" applyAlignment="1">
      <alignment horizontal="center" vertical="center"/>
      <protection/>
    </xf>
    <xf numFmtId="39" fontId="64" fillId="0" borderId="29" xfId="87" applyNumberFormat="1" applyFont="1" applyFill="1" applyBorder="1" applyAlignment="1">
      <alignment horizontal="center" vertical="center"/>
      <protection/>
    </xf>
    <xf numFmtId="39" fontId="64" fillId="0" borderId="29" xfId="87" applyNumberFormat="1" applyFont="1" applyBorder="1" applyAlignment="1">
      <alignment vertical="center"/>
      <protection/>
    </xf>
    <xf numFmtId="39" fontId="64" fillId="0" borderId="30" xfId="87" applyNumberFormat="1" applyFont="1" applyBorder="1" applyAlignment="1">
      <alignment vertical="center"/>
      <protection/>
    </xf>
    <xf numFmtId="39" fontId="2" fillId="0" borderId="29" xfId="87" applyNumberFormat="1" applyBorder="1">
      <alignment/>
      <protection/>
    </xf>
    <xf numFmtId="39" fontId="2" fillId="0" borderId="30" xfId="87" applyNumberFormat="1" applyBorder="1">
      <alignment/>
      <protection/>
    </xf>
    <xf numFmtId="39" fontId="64" fillId="0" borderId="30" xfId="87" applyNumberFormat="1" applyFont="1" applyBorder="1">
      <alignment/>
      <protection/>
    </xf>
    <xf numFmtId="39" fontId="64" fillId="0" borderId="41" xfId="87" applyNumberFormat="1" applyFont="1" applyBorder="1">
      <alignment/>
      <protection/>
    </xf>
    <xf numFmtId="39" fontId="23" fillId="0" borderId="20" xfId="87" applyNumberFormat="1" applyFont="1" applyBorder="1">
      <alignment/>
      <protection/>
    </xf>
    <xf numFmtId="39" fontId="3" fillId="0" borderId="19" xfId="87" applyNumberFormat="1" applyFont="1" applyBorder="1">
      <alignment/>
      <protection/>
    </xf>
    <xf numFmtId="39" fontId="3" fillId="0" borderId="19" xfId="87" applyNumberFormat="1" applyFont="1" applyBorder="1" applyAlignment="1">
      <alignment horizontal="center"/>
      <protection/>
    </xf>
    <xf numFmtId="0" fontId="2" fillId="0" borderId="46" xfId="87" applyBorder="1">
      <alignment/>
      <protection/>
    </xf>
    <xf numFmtId="4" fontId="3" fillId="0" borderId="33" xfId="87" applyNumberFormat="1" applyFont="1" applyBorder="1" applyAlignment="1">
      <alignment horizontal="center"/>
      <protection/>
    </xf>
    <xf numFmtId="0" fontId="3" fillId="0" borderId="46" xfId="87" applyFont="1" applyBorder="1" applyAlignment="1">
      <alignment horizontal="left"/>
      <protection/>
    </xf>
    <xf numFmtId="0" fontId="3" fillId="0" borderId="46" xfId="87" applyFont="1" applyBorder="1" applyAlignment="1">
      <alignment horizontal="center" vertical="center"/>
      <protection/>
    </xf>
    <xf numFmtId="0" fontId="3" fillId="0" borderId="46" xfId="87" applyFont="1" applyBorder="1" applyAlignment="1">
      <alignment horizontal="left" vertical="center"/>
      <protection/>
    </xf>
    <xf numFmtId="39" fontId="64" fillId="0" borderId="46" xfId="87" applyNumberFormat="1" applyFont="1" applyBorder="1">
      <alignment/>
      <protection/>
    </xf>
    <xf numFmtId="39" fontId="64" fillId="0" borderId="0" xfId="87" applyNumberFormat="1" applyFont="1" applyBorder="1">
      <alignment/>
      <protection/>
    </xf>
    <xf numFmtId="0" fontId="58" fillId="0" borderId="0" xfId="0" applyFont="1" applyBorder="1" applyAlignment="1">
      <alignment horizontal="center" vertical="center" wrapText="1"/>
    </xf>
    <xf numFmtId="39" fontId="2" fillId="0" borderId="0" xfId="87" applyNumberFormat="1" applyBorder="1">
      <alignment/>
      <protection/>
    </xf>
    <xf numFmtId="0" fontId="3" fillId="0" borderId="32" xfId="87" applyFont="1" applyBorder="1" applyAlignment="1">
      <alignment horizontal="right"/>
      <protection/>
    </xf>
    <xf numFmtId="0" fontId="2" fillId="0" borderId="35" xfId="87" applyBorder="1">
      <alignment/>
      <protection/>
    </xf>
    <xf numFmtId="0" fontId="2" fillId="0" borderId="28" xfId="87" applyBorder="1">
      <alignment/>
      <protection/>
    </xf>
    <xf numFmtId="17" fontId="2" fillId="0" borderId="0" xfId="87" applyNumberFormat="1" applyFont="1" applyBorder="1" applyAlignment="1">
      <alignment vertical="center"/>
      <protection/>
    </xf>
    <xf numFmtId="10" fontId="2" fillId="0" borderId="0" xfId="90" applyNumberFormat="1" applyFont="1" applyBorder="1" applyAlignment="1">
      <alignment horizontal="center"/>
    </xf>
    <xf numFmtId="0" fontId="2" fillId="0" borderId="25" xfId="87" applyBorder="1">
      <alignment/>
      <protection/>
    </xf>
    <xf numFmtId="0" fontId="2" fillId="0" borderId="26" xfId="87" applyBorder="1">
      <alignment/>
      <protection/>
    </xf>
    <xf numFmtId="0" fontId="2" fillId="0" borderId="47" xfId="87" applyBorder="1">
      <alignment/>
      <protection/>
    </xf>
    <xf numFmtId="0" fontId="2" fillId="0" borderId="36" xfId="87" applyBorder="1">
      <alignment/>
      <protection/>
    </xf>
    <xf numFmtId="0" fontId="3" fillId="0" borderId="0" xfId="87" applyFont="1" applyBorder="1" applyAlignment="1">
      <alignment vertical="center"/>
      <protection/>
    </xf>
    <xf numFmtId="0" fontId="2" fillId="0" borderId="37" xfId="87" applyBorder="1">
      <alignment/>
      <protection/>
    </xf>
    <xf numFmtId="0" fontId="2" fillId="0" borderId="48" xfId="87" applyBorder="1">
      <alignment/>
      <protection/>
    </xf>
    <xf numFmtId="0" fontId="30" fillId="0" borderId="0" xfId="87" applyFont="1">
      <alignment/>
      <protection/>
    </xf>
    <xf numFmtId="0" fontId="30" fillId="0" borderId="19" xfId="87" applyFont="1" applyBorder="1">
      <alignment/>
      <protection/>
    </xf>
    <xf numFmtId="0" fontId="30" fillId="0" borderId="20" xfId="87" applyFont="1" applyBorder="1" applyAlignment="1">
      <alignment horizontal="center"/>
      <protection/>
    </xf>
    <xf numFmtId="0" fontId="30" fillId="0" borderId="32" xfId="87" applyFont="1" applyBorder="1">
      <alignment/>
      <protection/>
    </xf>
    <xf numFmtId="2" fontId="30" fillId="0" borderId="20" xfId="87" applyNumberFormat="1" applyFont="1" applyBorder="1">
      <alignment/>
      <protection/>
    </xf>
    <xf numFmtId="2" fontId="33" fillId="0" borderId="20" xfId="87" applyNumberFormat="1" applyFont="1" applyBorder="1">
      <alignment/>
      <protection/>
    </xf>
    <xf numFmtId="0" fontId="33" fillId="0" borderId="32" xfId="87" applyFont="1" applyBorder="1">
      <alignment/>
      <protection/>
    </xf>
    <xf numFmtId="173" fontId="33" fillId="0" borderId="19" xfId="87" applyNumberFormat="1" applyFont="1" applyBorder="1" applyAlignment="1">
      <alignment horizontal="center"/>
      <protection/>
    </xf>
    <xf numFmtId="2" fontId="33" fillId="0" borderId="0" xfId="87" applyNumberFormat="1" applyFont="1" applyBorder="1">
      <alignment/>
      <protection/>
    </xf>
    <xf numFmtId="0" fontId="33" fillId="0" borderId="0" xfId="87" applyFont="1" applyBorder="1">
      <alignment/>
      <protection/>
    </xf>
    <xf numFmtId="173" fontId="30" fillId="0" borderId="0" xfId="87" applyNumberFormat="1" applyFont="1" applyBorder="1">
      <alignment/>
      <protection/>
    </xf>
    <xf numFmtId="0" fontId="30" fillId="0" borderId="20" xfId="87" applyFont="1" applyBorder="1">
      <alignment/>
      <protection/>
    </xf>
    <xf numFmtId="2" fontId="30" fillId="0" borderId="32" xfId="87" applyNumberFormat="1" applyFont="1" applyBorder="1" applyAlignment="1">
      <alignment horizontal="left"/>
      <protection/>
    </xf>
    <xf numFmtId="2" fontId="33" fillId="0" borderId="32" xfId="87" applyNumberFormat="1" applyFont="1" applyBorder="1" applyAlignment="1">
      <alignment horizontal="left"/>
      <protection/>
    </xf>
    <xf numFmtId="2" fontId="33" fillId="0" borderId="32" xfId="87" applyNumberFormat="1" applyFont="1" applyBorder="1" applyAlignment="1" applyProtection="1">
      <alignment horizontal="left"/>
      <protection/>
    </xf>
    <xf numFmtId="2" fontId="30" fillId="0" borderId="20" xfId="87" applyNumberFormat="1" applyFont="1" applyBorder="1" applyAlignment="1">
      <alignment/>
      <protection/>
    </xf>
    <xf numFmtId="2" fontId="30" fillId="0" borderId="32" xfId="87" applyNumberFormat="1" applyFont="1" applyBorder="1">
      <alignment/>
      <protection/>
    </xf>
    <xf numFmtId="2" fontId="30" fillId="0" borderId="20" xfId="87" applyNumberFormat="1" applyFont="1" applyBorder="1" applyAlignment="1">
      <alignment horizontal="center"/>
      <protection/>
    </xf>
    <xf numFmtId="0" fontId="30" fillId="0" borderId="33" xfId="87" applyFont="1" applyBorder="1">
      <alignment/>
      <protection/>
    </xf>
    <xf numFmtId="4" fontId="30" fillId="0" borderId="20" xfId="87" applyNumberFormat="1" applyFont="1" applyBorder="1">
      <alignment/>
      <protection/>
    </xf>
    <xf numFmtId="0" fontId="33" fillId="0" borderId="19" xfId="87" applyFont="1" applyBorder="1" applyAlignment="1">
      <alignment horizontal="center"/>
      <protection/>
    </xf>
    <xf numFmtId="2" fontId="30" fillId="0" borderId="19" xfId="87" applyNumberFormat="1" applyFont="1" applyBorder="1" applyAlignment="1">
      <alignment horizontal="center"/>
      <protection/>
    </xf>
    <xf numFmtId="4" fontId="30" fillId="0" borderId="32" xfId="87" applyNumberFormat="1" applyFont="1" applyBorder="1">
      <alignment/>
      <protection/>
    </xf>
    <xf numFmtId="4" fontId="30" fillId="0" borderId="33" xfId="87" applyNumberFormat="1" applyFont="1" applyBorder="1">
      <alignment/>
      <protection/>
    </xf>
    <xf numFmtId="4" fontId="30" fillId="0" borderId="19" xfId="87" applyNumberFormat="1" applyFont="1" applyBorder="1">
      <alignment/>
      <protection/>
    </xf>
    <xf numFmtId="4" fontId="33" fillId="0" borderId="49" xfId="87" applyNumberFormat="1" applyFont="1" applyBorder="1">
      <alignment/>
      <protection/>
    </xf>
    <xf numFmtId="4" fontId="33" fillId="0" borderId="50" xfId="87" applyNumberFormat="1" applyFont="1" applyBorder="1">
      <alignment/>
      <protection/>
    </xf>
    <xf numFmtId="4" fontId="33" fillId="0" borderId="51" xfId="87" applyNumberFormat="1" applyFont="1" applyBorder="1">
      <alignment/>
      <protection/>
    </xf>
    <xf numFmtId="4" fontId="30" fillId="0" borderId="41" xfId="87" applyNumberFormat="1" applyFont="1" applyBorder="1">
      <alignment/>
      <protection/>
    </xf>
    <xf numFmtId="4" fontId="30" fillId="0" borderId="52" xfId="87" applyNumberFormat="1" applyFont="1" applyBorder="1">
      <alignment/>
      <protection/>
    </xf>
    <xf numFmtId="4" fontId="30" fillId="0" borderId="0" xfId="87" applyNumberFormat="1" applyFont="1" applyBorder="1">
      <alignment/>
      <protection/>
    </xf>
    <xf numFmtId="4" fontId="30" fillId="0" borderId="53" xfId="87" applyNumberFormat="1" applyFont="1" applyBorder="1">
      <alignment/>
      <protection/>
    </xf>
    <xf numFmtId="4" fontId="33" fillId="0" borderId="20" xfId="87" applyNumberFormat="1" applyFont="1" applyBorder="1">
      <alignment/>
      <protection/>
    </xf>
    <xf numFmtId="4" fontId="33" fillId="0" borderId="32" xfId="87" applyNumberFormat="1" applyFont="1" applyBorder="1">
      <alignment/>
      <protection/>
    </xf>
    <xf numFmtId="4" fontId="33" fillId="0" borderId="53" xfId="87" applyNumberFormat="1" applyFont="1" applyBorder="1">
      <alignment/>
      <protection/>
    </xf>
    <xf numFmtId="0" fontId="30" fillId="0" borderId="35" xfId="87" applyFont="1" applyBorder="1">
      <alignment/>
      <protection/>
    </xf>
    <xf numFmtId="0" fontId="33" fillId="0" borderId="0" xfId="87" applyFont="1" applyBorder="1" applyAlignment="1">
      <alignment/>
      <protection/>
    </xf>
    <xf numFmtId="0" fontId="30" fillId="0" borderId="28" xfId="87" applyFont="1" applyBorder="1">
      <alignment/>
      <protection/>
    </xf>
    <xf numFmtId="0" fontId="30" fillId="0" borderId="0" xfId="87" applyFont="1" applyBorder="1" applyAlignment="1">
      <alignment horizontal="centerContinuous"/>
      <protection/>
    </xf>
    <xf numFmtId="0" fontId="33" fillId="0" borderId="0" xfId="87" applyFont="1" applyBorder="1" applyAlignment="1">
      <alignment horizontal="center"/>
      <protection/>
    </xf>
    <xf numFmtId="0" fontId="30" fillId="0" borderId="0" xfId="87" applyFont="1" applyBorder="1">
      <alignment/>
      <protection/>
    </xf>
    <xf numFmtId="49" fontId="33" fillId="0" borderId="0" xfId="87" applyNumberFormat="1" applyFont="1" applyBorder="1">
      <alignment/>
      <protection/>
    </xf>
    <xf numFmtId="0" fontId="30" fillId="0" borderId="34" xfId="87" applyFont="1" applyBorder="1">
      <alignment/>
      <protection/>
    </xf>
    <xf numFmtId="0" fontId="30" fillId="0" borderId="0" xfId="87" applyFont="1" applyFill="1" applyBorder="1">
      <alignment/>
      <protection/>
    </xf>
    <xf numFmtId="4" fontId="33" fillId="0" borderId="0" xfId="87" applyNumberFormat="1" applyFont="1" applyBorder="1">
      <alignment/>
      <protection/>
    </xf>
    <xf numFmtId="0" fontId="30" fillId="0" borderId="0" xfId="87" applyFont="1" applyBorder="1" applyAlignment="1">
      <alignment horizontal="center"/>
      <protection/>
    </xf>
    <xf numFmtId="2" fontId="33" fillId="0" borderId="0" xfId="87" applyNumberFormat="1" applyFont="1" applyBorder="1" applyAlignment="1">
      <alignment horizontal="center"/>
      <protection/>
    </xf>
    <xf numFmtId="4" fontId="33" fillId="0" borderId="0" xfId="87" applyNumberFormat="1" applyFont="1" applyBorder="1" applyAlignment="1">
      <alignment horizontal="center"/>
      <protection/>
    </xf>
    <xf numFmtId="2" fontId="39" fillId="56" borderId="0" xfId="87" applyNumberFormat="1" applyFont="1" applyFill="1" applyBorder="1" applyAlignment="1">
      <alignment horizontal="center"/>
      <protection/>
    </xf>
    <xf numFmtId="10" fontId="30" fillId="0" borderId="0" xfId="87" applyNumberFormat="1" applyFont="1" applyBorder="1">
      <alignment/>
      <protection/>
    </xf>
    <xf numFmtId="0" fontId="33" fillId="57" borderId="0" xfId="87" applyFont="1" applyFill="1" applyBorder="1">
      <alignment/>
      <protection/>
    </xf>
    <xf numFmtId="0" fontId="30" fillId="0" borderId="25" xfId="87" applyFont="1" applyBorder="1">
      <alignment/>
      <protection/>
    </xf>
    <xf numFmtId="0" fontId="33" fillId="0" borderId="26" xfId="87" applyFont="1" applyBorder="1" applyAlignment="1">
      <alignment horizontal="center"/>
      <protection/>
    </xf>
    <xf numFmtId="0" fontId="33" fillId="0" borderId="26" xfId="87" applyFont="1" applyBorder="1">
      <alignment/>
      <protection/>
    </xf>
    <xf numFmtId="0" fontId="30" fillId="0" borderId="26" xfId="87" applyFont="1" applyBorder="1">
      <alignment/>
      <protection/>
    </xf>
    <xf numFmtId="0" fontId="30" fillId="0" borderId="36" xfId="87" applyFont="1" applyBorder="1">
      <alignment/>
      <protection/>
    </xf>
    <xf numFmtId="0" fontId="30" fillId="0" borderId="37" xfId="87" applyFont="1" applyBorder="1">
      <alignment/>
      <protection/>
    </xf>
    <xf numFmtId="0" fontId="30" fillId="0" borderId="48" xfId="87" applyFont="1" applyBorder="1">
      <alignment/>
      <protection/>
    </xf>
    <xf numFmtId="0" fontId="33" fillId="0" borderId="0" xfId="87" applyFont="1" applyBorder="1" applyAlignment="1">
      <alignment horizontal="centerContinuous"/>
      <protection/>
    </xf>
    <xf numFmtId="0" fontId="33" fillId="0" borderId="0" xfId="87" applyFont="1" applyBorder="1" applyAlignment="1">
      <alignment horizontal="right"/>
      <protection/>
    </xf>
    <xf numFmtId="0" fontId="33" fillId="0" borderId="0" xfId="87" applyFont="1" applyFill="1" applyBorder="1">
      <alignment/>
      <protection/>
    </xf>
    <xf numFmtId="10" fontId="36" fillId="36" borderId="19" xfId="85" applyNumberFormat="1" applyFont="1" applyFill="1" applyBorder="1" applyAlignment="1">
      <alignment horizontal="center" vertical="center"/>
      <protection/>
    </xf>
    <xf numFmtId="0" fontId="30" fillId="56" borderId="19" xfId="85" applyFont="1" applyFill="1" applyBorder="1" applyAlignment="1" applyProtection="1">
      <alignment horizontal="center" vertical="center"/>
      <protection locked="0"/>
    </xf>
    <xf numFmtId="2" fontId="29" fillId="56" borderId="19" xfId="85" applyNumberFormat="1" applyFont="1" applyFill="1" applyBorder="1" applyAlignment="1">
      <alignment horizontal="center" vertical="center" wrapText="1"/>
      <protection/>
    </xf>
    <xf numFmtId="0" fontId="30" fillId="56" borderId="19" xfId="85" applyFont="1" applyFill="1" applyBorder="1" applyAlignment="1">
      <alignment horizontal="center" vertical="center" wrapText="1"/>
      <protection/>
    </xf>
    <xf numFmtId="166" fontId="29" fillId="56" borderId="19" xfId="85" applyNumberFormat="1" applyFont="1" applyFill="1" applyBorder="1" applyAlignment="1">
      <alignment horizontal="center" vertical="center" wrapText="1"/>
      <protection/>
    </xf>
    <xf numFmtId="2" fontId="29" fillId="56" borderId="19" xfId="85" applyNumberFormat="1" applyFont="1" applyFill="1" applyBorder="1" applyAlignment="1">
      <alignment horizontal="center" vertical="center"/>
      <protection/>
    </xf>
    <xf numFmtId="39" fontId="29" fillId="56" borderId="19" xfId="85" applyNumberFormat="1" applyFont="1" applyFill="1" applyBorder="1" applyAlignment="1">
      <alignment horizontal="center" vertical="center" wrapText="1"/>
      <protection/>
    </xf>
    <xf numFmtId="166" fontId="29" fillId="56" borderId="19" xfId="85" applyNumberFormat="1" applyFont="1" applyFill="1" applyBorder="1" applyAlignment="1">
      <alignment horizontal="center" vertical="center"/>
      <protection/>
    </xf>
    <xf numFmtId="0" fontId="30" fillId="56" borderId="19" xfId="85" applyFont="1" applyFill="1" applyBorder="1" applyAlignment="1">
      <alignment vertical="center"/>
      <protection/>
    </xf>
    <xf numFmtId="166" fontId="40" fillId="56" borderId="19" xfId="85" applyNumberFormat="1" applyFont="1" applyFill="1" applyBorder="1" applyAlignment="1">
      <alignment horizontal="center" vertical="center"/>
      <protection/>
    </xf>
    <xf numFmtId="4" fontId="29" fillId="56" borderId="19" xfId="85" applyNumberFormat="1" applyFont="1" applyFill="1" applyBorder="1" applyAlignment="1">
      <alignment horizontal="center" vertical="center"/>
      <protection/>
    </xf>
    <xf numFmtId="2" fontId="30" fillId="56" borderId="19" xfId="85" applyNumberFormat="1" applyFont="1" applyFill="1" applyBorder="1" applyAlignment="1">
      <alignment horizontal="center" vertical="center" wrapText="1"/>
      <protection/>
    </xf>
    <xf numFmtId="2" fontId="30" fillId="0" borderId="0" xfId="87" applyNumberFormat="1" applyFont="1" applyBorder="1" applyAlignment="1">
      <alignment vertical="center"/>
      <protection/>
    </xf>
    <xf numFmtId="0" fontId="35" fillId="36" borderId="54" xfId="87" applyFont="1" applyFill="1" applyBorder="1" applyAlignment="1">
      <alignment horizontal="center" vertical="center" wrapText="1"/>
      <protection/>
    </xf>
    <xf numFmtId="0" fontId="35" fillId="36" borderId="19" xfId="87" applyFont="1" applyFill="1" applyBorder="1" applyAlignment="1">
      <alignment horizontal="center" vertical="center" wrapText="1"/>
      <protection/>
    </xf>
    <xf numFmtId="0" fontId="35" fillId="36" borderId="20" xfId="87" applyFont="1" applyFill="1" applyBorder="1" applyAlignment="1">
      <alignment horizontal="center" vertical="center" wrapText="1"/>
      <protection/>
    </xf>
    <xf numFmtId="0" fontId="35" fillId="36" borderId="32" xfId="87" applyFont="1" applyFill="1" applyBorder="1" applyAlignment="1">
      <alignment horizontal="center" vertical="center" wrapText="1"/>
      <protection/>
    </xf>
    <xf numFmtId="0" fontId="35" fillId="36" borderId="33" xfId="87" applyFont="1" applyFill="1" applyBorder="1" applyAlignment="1">
      <alignment horizontal="center" vertical="center" wrapText="1"/>
      <protection/>
    </xf>
    <xf numFmtId="171" fontId="35" fillId="36" borderId="20" xfId="87" applyNumberFormat="1" applyFont="1" applyFill="1" applyBorder="1" applyAlignment="1">
      <alignment horizontal="center" vertical="center" wrapText="1"/>
      <protection/>
    </xf>
    <xf numFmtId="171" fontId="35" fillId="36" borderId="33" xfId="87" applyNumberFormat="1" applyFont="1" applyFill="1" applyBorder="1" applyAlignment="1">
      <alignment horizontal="center" vertical="center" wrapText="1"/>
      <protection/>
    </xf>
    <xf numFmtId="171" fontId="35" fillId="36" borderId="32" xfId="87" applyNumberFormat="1" applyFont="1" applyFill="1" applyBorder="1" applyAlignment="1">
      <alignment horizontal="center" vertical="center" wrapText="1"/>
      <protection/>
    </xf>
    <xf numFmtId="0" fontId="33" fillId="36" borderId="20" xfId="87" applyFont="1" applyFill="1" applyBorder="1" applyAlignment="1">
      <alignment horizontal="right" vertical="center"/>
      <protection/>
    </xf>
    <xf numFmtId="0" fontId="33" fillId="36" borderId="32" xfId="87" applyFont="1" applyFill="1" applyBorder="1" applyAlignment="1">
      <alignment horizontal="right" vertical="center"/>
      <protection/>
    </xf>
    <xf numFmtId="0" fontId="33" fillId="36" borderId="19" xfId="87" applyFont="1" applyFill="1" applyBorder="1" applyAlignment="1">
      <alignment horizontal="right" vertical="center"/>
      <protection/>
    </xf>
    <xf numFmtId="0" fontId="33" fillId="36" borderId="20" xfId="87" applyFont="1" applyFill="1" applyBorder="1" applyAlignment="1">
      <alignment horizontal="center" vertical="center" wrapText="1"/>
      <protection/>
    </xf>
    <xf numFmtId="0" fontId="33" fillId="36" borderId="33" xfId="87" applyFont="1" applyFill="1" applyBorder="1" applyAlignment="1">
      <alignment horizontal="center" vertical="center" wrapText="1"/>
      <protection/>
    </xf>
    <xf numFmtId="0" fontId="33" fillId="36" borderId="32" xfId="87" applyFont="1" applyFill="1" applyBorder="1" applyAlignment="1">
      <alignment horizontal="center" vertical="center" wrapText="1"/>
      <protection/>
    </xf>
    <xf numFmtId="0" fontId="65" fillId="36" borderId="20" xfId="87" applyFont="1" applyFill="1" applyBorder="1" applyAlignment="1">
      <alignment horizontal="center" vertical="center" wrapText="1"/>
      <protection/>
    </xf>
    <xf numFmtId="0" fontId="65" fillId="36" borderId="33" xfId="87" applyFont="1" applyFill="1" applyBorder="1" applyAlignment="1">
      <alignment horizontal="center" vertical="center" wrapText="1"/>
      <protection/>
    </xf>
    <xf numFmtId="0" fontId="65" fillId="36" borderId="32" xfId="87" applyFont="1" applyFill="1" applyBorder="1" applyAlignment="1">
      <alignment horizontal="center" vertical="center" wrapText="1"/>
      <protection/>
    </xf>
    <xf numFmtId="49" fontId="33" fillId="36" borderId="20" xfId="87" applyNumberFormat="1" applyFont="1" applyFill="1" applyBorder="1" applyAlignment="1">
      <alignment horizontal="center" vertical="center" wrapText="1"/>
      <protection/>
    </xf>
    <xf numFmtId="2" fontId="33" fillId="0" borderId="0" xfId="87" applyNumberFormat="1" applyFont="1" applyBorder="1" applyAlignment="1">
      <alignment vertical="center" wrapText="1"/>
      <protection/>
    </xf>
    <xf numFmtId="2" fontId="33" fillId="0" borderId="0" xfId="87" applyNumberFormat="1" applyFont="1" applyBorder="1" applyAlignment="1">
      <alignment vertical="center"/>
      <protection/>
    </xf>
    <xf numFmtId="0" fontId="33" fillId="36" borderId="19" xfId="87" applyFont="1" applyFill="1" applyBorder="1" applyAlignment="1">
      <alignment horizontal="right" vertical="center" wrapText="1"/>
      <protection/>
    </xf>
    <xf numFmtId="0" fontId="33" fillId="0" borderId="0" xfId="87" applyFont="1" applyBorder="1" applyAlignment="1">
      <alignment vertical="center" wrapText="1"/>
      <protection/>
    </xf>
    <xf numFmtId="0" fontId="33" fillId="0" borderId="0" xfId="87" applyFont="1" applyBorder="1" applyAlignment="1">
      <alignment vertical="center"/>
      <protection/>
    </xf>
    <xf numFmtId="2" fontId="30" fillId="0" borderId="0" xfId="87" applyNumberFormat="1" applyFont="1" applyBorder="1" applyAlignment="1">
      <alignment vertical="center"/>
      <protection/>
    </xf>
    <xf numFmtId="2" fontId="33" fillId="0" borderId="0" xfId="87" applyNumberFormat="1" applyFont="1" applyBorder="1" applyAlignment="1">
      <alignment horizontal="left" vertical="center" wrapText="1"/>
      <protection/>
    </xf>
    <xf numFmtId="2" fontId="33" fillId="0" borderId="0" xfId="87" applyNumberFormat="1" applyFont="1" applyBorder="1" applyAlignment="1">
      <alignment horizontal="left" vertical="center"/>
      <protection/>
    </xf>
    <xf numFmtId="0" fontId="42" fillId="0" borderId="0" xfId="85" applyFont="1" applyBorder="1" applyAlignment="1">
      <alignment horizontal="right" vertical="center" wrapText="1"/>
      <protection/>
    </xf>
    <xf numFmtId="0" fontId="30" fillId="0" borderId="0" xfId="85" applyFont="1" applyBorder="1" applyAlignment="1">
      <alignment horizontal="center" vertical="center" wrapText="1"/>
      <protection/>
    </xf>
    <xf numFmtId="0" fontId="30" fillId="0" borderId="28" xfId="85" applyFont="1" applyBorder="1" applyAlignment="1">
      <alignment horizontal="center" vertical="center" wrapText="1"/>
      <protection/>
    </xf>
    <xf numFmtId="0" fontId="30" fillId="0" borderId="55" xfId="85" applyFont="1" applyBorder="1" applyAlignment="1">
      <alignment horizontal="left" vertical="center" wrapText="1"/>
      <protection/>
    </xf>
    <xf numFmtId="0" fontId="30" fillId="0" borderId="56" xfId="85" applyFont="1" applyBorder="1" applyAlignment="1">
      <alignment horizontal="left" vertical="center" wrapText="1"/>
      <protection/>
    </xf>
    <xf numFmtId="0" fontId="30" fillId="0" borderId="57" xfId="85" applyFont="1" applyBorder="1" applyAlignment="1">
      <alignment horizontal="left" vertical="center" wrapText="1"/>
      <protection/>
    </xf>
    <xf numFmtId="0" fontId="30" fillId="0" borderId="58" xfId="85" applyFont="1" applyBorder="1" applyAlignment="1">
      <alignment horizontal="left" vertical="center" wrapText="1"/>
      <protection/>
    </xf>
    <xf numFmtId="0" fontId="30" fillId="0" borderId="46" xfId="85" applyFont="1" applyBorder="1" applyAlignment="1">
      <alignment horizontal="left" vertical="center" wrapText="1"/>
      <protection/>
    </xf>
    <xf numFmtId="0" fontId="30" fillId="0" borderId="59" xfId="85" applyFont="1" applyBorder="1" applyAlignment="1">
      <alignment horizontal="left" vertical="center" wrapText="1"/>
      <protection/>
    </xf>
    <xf numFmtId="0" fontId="36" fillId="36" borderId="38" xfId="85" applyFont="1" applyFill="1" applyBorder="1" applyAlignment="1">
      <alignment horizontal="right" vertical="center"/>
      <protection/>
    </xf>
    <xf numFmtId="0" fontId="36" fillId="36" borderId="19" xfId="85" applyFont="1" applyFill="1" applyBorder="1" applyAlignment="1">
      <alignment horizontal="right" vertical="center"/>
      <protection/>
    </xf>
    <xf numFmtId="17" fontId="36" fillId="36" borderId="20" xfId="117" applyNumberFormat="1" applyFont="1" applyFill="1" applyBorder="1" applyAlignment="1">
      <alignment horizontal="center" vertical="center"/>
    </xf>
    <xf numFmtId="17" fontId="36" fillId="36" borderId="32" xfId="117" applyNumberFormat="1" applyFont="1" applyFill="1" applyBorder="1" applyAlignment="1">
      <alignment horizontal="center" vertical="center"/>
    </xf>
    <xf numFmtId="0" fontId="33" fillId="0" borderId="38" xfId="85" applyFont="1" applyFill="1" applyBorder="1" applyAlignment="1">
      <alignment horizontal="center" vertical="center" wrapText="1"/>
      <protection/>
    </xf>
    <xf numFmtId="0" fontId="33" fillId="0" borderId="19" xfId="85" applyFont="1" applyFill="1" applyBorder="1" applyAlignment="1">
      <alignment horizontal="center" vertical="center" wrapText="1"/>
      <protection/>
    </xf>
    <xf numFmtId="0" fontId="33" fillId="0" borderId="29" xfId="85" applyFont="1" applyFill="1" applyBorder="1" applyAlignment="1">
      <alignment horizontal="center" vertical="center" wrapText="1"/>
      <protection/>
    </xf>
    <xf numFmtId="0" fontId="33" fillId="0" borderId="21" xfId="85" applyFont="1" applyFill="1" applyBorder="1" applyAlignment="1">
      <alignment horizontal="center" vertical="center" wrapText="1"/>
      <protection/>
    </xf>
    <xf numFmtId="0" fontId="33" fillId="0" borderId="30" xfId="85" applyFont="1" applyFill="1" applyBorder="1" applyAlignment="1">
      <alignment horizontal="center" vertical="center" wrapText="1"/>
      <protection/>
    </xf>
    <xf numFmtId="0" fontId="30" fillId="0" borderId="19" xfId="85" applyFont="1" applyFill="1" applyBorder="1" applyAlignment="1">
      <alignment horizontal="center" vertical="center" wrapText="1"/>
      <protection/>
    </xf>
    <xf numFmtId="0" fontId="33" fillId="0" borderId="27" xfId="85" applyFont="1" applyFill="1" applyBorder="1" applyAlignment="1">
      <alignment horizontal="center" vertical="center" wrapText="1"/>
      <protection/>
    </xf>
    <xf numFmtId="0" fontId="36" fillId="36" borderId="60" xfId="85" applyFont="1" applyFill="1" applyBorder="1" applyAlignment="1">
      <alignment horizontal="center" vertical="center" wrapText="1"/>
      <protection/>
    </xf>
    <xf numFmtId="0" fontId="36" fillId="36" borderId="61" xfId="85" applyFont="1" applyFill="1" applyBorder="1" applyAlignment="1">
      <alignment horizontal="center" vertical="center" wrapText="1"/>
      <protection/>
    </xf>
    <xf numFmtId="0" fontId="36" fillId="36" borderId="62" xfId="85" applyFont="1" applyFill="1" applyBorder="1" applyAlignment="1">
      <alignment horizontal="center" vertical="center" wrapText="1"/>
      <protection/>
    </xf>
    <xf numFmtId="0" fontId="36" fillId="36" borderId="38" xfId="85" applyFont="1" applyFill="1" applyBorder="1" applyAlignment="1">
      <alignment horizontal="center" vertical="center" wrapText="1"/>
      <protection/>
    </xf>
    <xf numFmtId="0" fontId="36" fillId="36" borderId="19" xfId="85" applyFont="1" applyFill="1" applyBorder="1" applyAlignment="1">
      <alignment horizontal="center" vertical="center" wrapText="1"/>
      <protection/>
    </xf>
    <xf numFmtId="0" fontId="36" fillId="36" borderId="27" xfId="85" applyFont="1" applyFill="1" applyBorder="1" applyAlignment="1">
      <alignment horizontal="center" vertical="center" wrapText="1"/>
      <protection/>
    </xf>
    <xf numFmtId="0" fontId="36" fillId="36" borderId="38" xfId="85" applyFont="1" applyFill="1" applyBorder="1" applyAlignment="1">
      <alignment horizontal="right" vertical="center" wrapText="1"/>
      <protection/>
    </xf>
    <xf numFmtId="0" fontId="36" fillId="36" borderId="19" xfId="85" applyFont="1" applyFill="1" applyBorder="1" applyAlignment="1">
      <alignment horizontal="right" vertical="center" wrapText="1"/>
      <protection/>
    </xf>
    <xf numFmtId="0" fontId="33" fillId="0" borderId="20" xfId="87" applyFont="1" applyBorder="1" applyAlignment="1">
      <alignment horizontal="center"/>
      <protection/>
    </xf>
    <xf numFmtId="0" fontId="33" fillId="0" borderId="33" xfId="87" applyFont="1" applyBorder="1" applyAlignment="1">
      <alignment horizontal="center"/>
      <protection/>
    </xf>
    <xf numFmtId="0" fontId="33" fillId="0" borderId="32" xfId="87" applyFont="1" applyBorder="1" applyAlignment="1">
      <alignment horizontal="center"/>
      <protection/>
    </xf>
    <xf numFmtId="0" fontId="30" fillId="0" borderId="20" xfId="87" applyFont="1" applyBorder="1" applyAlignment="1">
      <alignment/>
      <protection/>
    </xf>
    <xf numFmtId="0" fontId="30" fillId="0" borderId="33" xfId="87" applyFont="1" applyBorder="1" applyAlignment="1">
      <alignment/>
      <protection/>
    </xf>
    <xf numFmtId="0" fontId="30" fillId="0" borderId="32" xfId="87" applyFont="1" applyBorder="1" applyAlignment="1">
      <alignment/>
      <protection/>
    </xf>
    <xf numFmtId="0" fontId="30" fillId="0" borderId="32" xfId="87" applyFont="1" applyBorder="1">
      <alignment/>
      <protection/>
    </xf>
    <xf numFmtId="0" fontId="30" fillId="0" borderId="20" xfId="87" applyFont="1" applyBorder="1" applyAlignment="1">
      <alignment horizontal="center"/>
      <protection/>
    </xf>
    <xf numFmtId="0" fontId="30" fillId="0" borderId="33" xfId="87" applyFont="1" applyBorder="1" applyAlignment="1">
      <alignment horizontal="center"/>
      <protection/>
    </xf>
    <xf numFmtId="0" fontId="30" fillId="0" borderId="32" xfId="87" applyFont="1" applyBorder="1" applyAlignment="1">
      <alignment horizontal="center"/>
      <protection/>
    </xf>
    <xf numFmtId="0" fontId="33" fillId="0" borderId="0" xfId="87" applyFont="1" applyFill="1" applyBorder="1" applyAlignment="1">
      <alignment horizontal="center"/>
      <protection/>
    </xf>
    <xf numFmtId="49" fontId="33" fillId="0" borderId="0" xfId="87" applyNumberFormat="1" applyFont="1" applyBorder="1" applyAlignment="1" applyProtection="1">
      <alignment horizontal="center" vertical="center"/>
      <protection locked="0"/>
    </xf>
    <xf numFmtId="0" fontId="30" fillId="0" borderId="0" xfId="87" applyFont="1" applyBorder="1" applyAlignment="1" applyProtection="1">
      <alignment horizontal="center" vertical="center"/>
      <protection locked="0"/>
    </xf>
    <xf numFmtId="0" fontId="33" fillId="0" borderId="0" xfId="87" applyFont="1" applyBorder="1" applyAlignment="1">
      <alignment horizontal="center" vertical="center" wrapText="1"/>
      <protection/>
    </xf>
    <xf numFmtId="0" fontId="30" fillId="0" borderId="0" xfId="87" applyFont="1" applyBorder="1" applyAlignment="1">
      <alignment horizontal="center" vertical="center" wrapText="1"/>
      <protection/>
    </xf>
    <xf numFmtId="0" fontId="33" fillId="0" borderId="29" xfId="87" applyFont="1" applyBorder="1" applyAlignment="1">
      <alignment horizontal="center" vertical="center"/>
      <protection/>
    </xf>
    <xf numFmtId="0" fontId="33" fillId="0" borderId="30" xfId="87" applyFont="1" applyBorder="1" applyAlignment="1">
      <alignment horizontal="center" vertical="center"/>
      <protection/>
    </xf>
    <xf numFmtId="0" fontId="33" fillId="0" borderId="63" xfId="87" applyFont="1" applyBorder="1" applyAlignment="1">
      <alignment horizontal="center" vertical="center"/>
      <protection/>
    </xf>
    <xf numFmtId="0" fontId="33" fillId="0" borderId="64" xfId="87" applyFont="1" applyBorder="1" applyAlignment="1">
      <alignment horizontal="center" vertical="center"/>
      <protection/>
    </xf>
    <xf numFmtId="0" fontId="33" fillId="0" borderId="41" xfId="87" applyFont="1" applyBorder="1" applyAlignment="1">
      <alignment horizontal="center" vertical="center"/>
      <protection/>
    </xf>
    <xf numFmtId="0" fontId="33" fillId="0" borderId="52" xfId="87" applyFont="1" applyBorder="1" applyAlignment="1">
      <alignment horizontal="center" vertical="center"/>
      <protection/>
    </xf>
    <xf numFmtId="0" fontId="33" fillId="0" borderId="63" xfId="87" applyFont="1" applyBorder="1" applyAlignment="1">
      <alignment horizontal="center" wrapText="1"/>
      <protection/>
    </xf>
    <xf numFmtId="0" fontId="33" fillId="0" borderId="64" xfId="87" applyFont="1" applyBorder="1" applyAlignment="1">
      <alignment horizontal="center" wrapText="1"/>
      <protection/>
    </xf>
    <xf numFmtId="0" fontId="33" fillId="0" borderId="41" xfId="87" applyFont="1" applyBorder="1" applyAlignment="1">
      <alignment horizontal="center" wrapText="1"/>
      <protection/>
    </xf>
    <xf numFmtId="0" fontId="33" fillId="0" borderId="52" xfId="87" applyFont="1" applyBorder="1" applyAlignment="1">
      <alignment horizontal="center" wrapText="1"/>
      <protection/>
    </xf>
    <xf numFmtId="0" fontId="22" fillId="36" borderId="65" xfId="87" applyFont="1" applyFill="1" applyBorder="1" applyAlignment="1">
      <alignment horizontal="center" vertical="center" wrapText="1"/>
      <protection/>
    </xf>
    <xf numFmtId="0" fontId="22" fillId="36" borderId="33" xfId="87" applyFont="1" applyFill="1" applyBorder="1" applyAlignment="1">
      <alignment horizontal="center" vertical="center" wrapText="1"/>
      <protection/>
    </xf>
    <xf numFmtId="0" fontId="22" fillId="36" borderId="66" xfId="87" applyFont="1" applyFill="1" applyBorder="1" applyAlignment="1">
      <alignment horizontal="center" vertical="center" wrapText="1"/>
      <protection/>
    </xf>
    <xf numFmtId="0" fontId="33" fillId="0" borderId="37" xfId="87" applyFont="1" applyBorder="1" applyAlignment="1">
      <alignment vertical="center" wrapText="1"/>
      <protection/>
    </xf>
    <xf numFmtId="0" fontId="30" fillId="0" borderId="48" xfId="87" applyFont="1" applyBorder="1" applyAlignment="1">
      <alignment vertical="center" wrapText="1"/>
      <protection/>
    </xf>
    <xf numFmtId="0" fontId="30" fillId="0" borderId="35" xfId="87" applyFont="1" applyBorder="1" applyAlignment="1">
      <alignment vertical="center" wrapText="1"/>
      <protection/>
    </xf>
    <xf numFmtId="0" fontId="2" fillId="0" borderId="19" xfId="87" applyFont="1" applyFill="1" applyBorder="1" applyAlignment="1">
      <alignment horizontal="left"/>
      <protection/>
    </xf>
    <xf numFmtId="0" fontId="2" fillId="56" borderId="0" xfId="87" applyFont="1" applyFill="1" applyAlignment="1">
      <alignment horizontal="center" wrapText="1"/>
      <protection/>
    </xf>
    <xf numFmtId="0" fontId="22" fillId="36" borderId="60" xfId="87" applyFont="1" applyFill="1" applyBorder="1" applyAlignment="1">
      <alignment horizontal="center" vertical="center" wrapText="1"/>
      <protection/>
    </xf>
    <xf numFmtId="0" fontId="22" fillId="36" borderId="61" xfId="87" applyFont="1" applyFill="1" applyBorder="1" applyAlignment="1">
      <alignment horizontal="center" vertical="center" wrapText="1"/>
      <protection/>
    </xf>
    <xf numFmtId="0" fontId="22" fillId="36" borderId="62" xfId="87" applyFont="1" applyFill="1" applyBorder="1" applyAlignment="1">
      <alignment horizontal="center" vertical="center" wrapText="1"/>
      <protection/>
    </xf>
    <xf numFmtId="0" fontId="3" fillId="36" borderId="38" xfId="87" applyFont="1" applyFill="1" applyBorder="1" applyAlignment="1">
      <alignment horizontal="center" vertical="center" wrapText="1"/>
      <protection/>
    </xf>
    <xf numFmtId="0" fontId="3" fillId="36" borderId="19" xfId="87" applyFont="1" applyFill="1" applyBorder="1" applyAlignment="1">
      <alignment horizontal="center" vertical="center" wrapText="1"/>
      <protection/>
    </xf>
    <xf numFmtId="171" fontId="59" fillId="36" borderId="20" xfId="87" applyNumberFormat="1" applyFont="1" applyFill="1" applyBorder="1" applyAlignment="1">
      <alignment horizontal="center" vertical="center" wrapText="1"/>
      <protection/>
    </xf>
    <xf numFmtId="171" fontId="59" fillId="36" borderId="33" xfId="87" applyNumberFormat="1" applyFont="1" applyFill="1" applyBorder="1" applyAlignment="1">
      <alignment horizontal="center" vertical="center" wrapText="1"/>
      <protection/>
    </xf>
    <xf numFmtId="171" fontId="59" fillId="36" borderId="66" xfId="87" applyNumberFormat="1" applyFont="1" applyFill="1" applyBorder="1" applyAlignment="1">
      <alignment horizontal="center" vertical="center" wrapText="1"/>
      <protection/>
    </xf>
    <xf numFmtId="0" fontId="3" fillId="36" borderId="65" xfId="87" applyFont="1" applyFill="1" applyBorder="1" applyAlignment="1">
      <alignment horizontal="right" vertical="center" wrapText="1"/>
      <protection/>
    </xf>
    <xf numFmtId="0" fontId="3" fillId="36" borderId="32" xfId="87" applyFont="1" applyFill="1" applyBorder="1" applyAlignment="1">
      <alignment horizontal="right" vertical="center" wrapText="1"/>
      <protection/>
    </xf>
    <xf numFmtId="17" fontId="3" fillId="36" borderId="20" xfId="87" applyNumberFormat="1" applyFont="1" applyFill="1" applyBorder="1" applyAlignment="1">
      <alignment horizontal="left" vertical="center" wrapText="1"/>
      <protection/>
    </xf>
    <xf numFmtId="0" fontId="3" fillId="36" borderId="33" xfId="87" applyFont="1" applyFill="1" applyBorder="1" applyAlignment="1">
      <alignment horizontal="left" vertical="center" wrapText="1"/>
      <protection/>
    </xf>
    <xf numFmtId="0" fontId="3" fillId="36" borderId="32" xfId="87" applyFont="1" applyFill="1" applyBorder="1" applyAlignment="1">
      <alignment horizontal="left" vertical="center" wrapText="1"/>
      <protection/>
    </xf>
    <xf numFmtId="0" fontId="2" fillId="0" borderId="0" xfId="85" applyFill="1" applyAlignment="1">
      <alignment horizontal="left" vertical="center" wrapText="1"/>
      <protection/>
    </xf>
    <xf numFmtId="0" fontId="2" fillId="36" borderId="20" xfId="87" applyFont="1" applyFill="1" applyBorder="1" applyAlignment="1">
      <alignment horizontal="center" vertical="center" wrapText="1"/>
      <protection/>
    </xf>
    <xf numFmtId="0" fontId="2" fillId="36" borderId="33" xfId="87" applyFont="1" applyFill="1" applyBorder="1" applyAlignment="1">
      <alignment horizontal="center" vertical="center" wrapText="1"/>
      <protection/>
    </xf>
    <xf numFmtId="0" fontId="2" fillId="36" borderId="66" xfId="87" applyFont="1" applyFill="1" applyBorder="1" applyAlignment="1">
      <alignment horizontal="center" vertical="center" wrapText="1"/>
      <protection/>
    </xf>
    <xf numFmtId="0" fontId="3" fillId="36" borderId="67" xfId="87" applyFont="1" applyFill="1" applyBorder="1" applyAlignment="1">
      <alignment horizontal="right" vertical="center"/>
      <protection/>
    </xf>
    <xf numFmtId="0" fontId="3" fillId="36" borderId="68" xfId="87" applyFont="1" applyFill="1" applyBorder="1" applyAlignment="1">
      <alignment horizontal="right" vertical="center"/>
      <protection/>
    </xf>
    <xf numFmtId="0" fontId="24" fillId="0" borderId="30" xfId="87" applyFont="1" applyFill="1" applyBorder="1" applyAlignment="1">
      <alignment horizontal="center" vertical="center"/>
      <protection/>
    </xf>
    <xf numFmtId="0" fontId="30" fillId="0" borderId="25" xfId="87" applyFont="1" applyBorder="1" applyAlignment="1">
      <alignment vertical="center" wrapText="1"/>
      <protection/>
    </xf>
    <xf numFmtId="0" fontId="30" fillId="0" borderId="26" xfId="87" applyFont="1" applyBorder="1" applyAlignment="1">
      <alignment vertical="center" wrapText="1"/>
      <protection/>
    </xf>
    <xf numFmtId="0" fontId="30" fillId="0" borderId="36" xfId="87" applyFont="1" applyBorder="1" applyAlignment="1">
      <alignment vertical="center" wrapText="1"/>
      <protection/>
    </xf>
    <xf numFmtId="0" fontId="2" fillId="36" borderId="19" xfId="87" applyFill="1" applyBorder="1" applyAlignment="1">
      <alignment horizontal="left" wrapText="1"/>
      <protection/>
    </xf>
    <xf numFmtId="0" fontId="2" fillId="0" borderId="69" xfId="87" applyBorder="1" applyAlignment="1">
      <alignment horizontal="right"/>
      <protection/>
    </xf>
    <xf numFmtId="0" fontId="2" fillId="0" borderId="47" xfId="87" applyBorder="1" applyAlignment="1">
      <alignment horizontal="right"/>
      <protection/>
    </xf>
    <xf numFmtId="0" fontId="33" fillId="0" borderId="48" xfId="87" applyFont="1" applyBorder="1" applyAlignment="1">
      <alignment vertical="center" wrapText="1"/>
      <protection/>
    </xf>
    <xf numFmtId="0" fontId="33" fillId="0" borderId="35" xfId="87" applyFont="1" applyBorder="1" applyAlignment="1">
      <alignment vertical="center" wrapText="1"/>
      <protection/>
    </xf>
    <xf numFmtId="0" fontId="2" fillId="0" borderId="0" xfId="87" applyAlignment="1">
      <alignment wrapText="1"/>
      <protection/>
    </xf>
    <xf numFmtId="0" fontId="3" fillId="0" borderId="0" xfId="87" applyFont="1" applyBorder="1" applyAlignment="1">
      <alignment horizontal="center" vertical="center"/>
      <protection/>
    </xf>
    <xf numFmtId="0" fontId="2" fillId="0" borderId="0" xfId="87" applyFont="1" applyBorder="1" applyAlignment="1" applyProtection="1">
      <alignment horizontal="center" vertical="center" wrapText="1"/>
      <protection locked="0"/>
    </xf>
    <xf numFmtId="0" fontId="2" fillId="0" borderId="0" xfId="87" applyBorder="1" applyAlignment="1" applyProtection="1">
      <alignment horizontal="center" vertical="center" wrapText="1"/>
      <protection locked="0"/>
    </xf>
    <xf numFmtId="0" fontId="3" fillId="0" borderId="0" xfId="87" applyFont="1" applyBorder="1" applyAlignment="1">
      <alignment horizontal="right"/>
      <protection/>
    </xf>
    <xf numFmtId="0" fontId="3" fillId="36" borderId="29" xfId="87" applyFont="1" applyFill="1" applyBorder="1" applyAlignment="1">
      <alignment horizontal="center" vertical="center"/>
      <protection/>
    </xf>
    <xf numFmtId="0" fontId="3" fillId="36" borderId="30" xfId="87" applyFont="1" applyFill="1" applyBorder="1" applyAlignment="1">
      <alignment horizontal="center" vertical="center"/>
      <protection/>
    </xf>
    <xf numFmtId="0" fontId="3" fillId="36" borderId="20" xfId="87" applyFont="1" applyFill="1" applyBorder="1" applyAlignment="1">
      <alignment horizontal="center"/>
      <protection/>
    </xf>
    <xf numFmtId="0" fontId="3" fillId="36" borderId="33" xfId="87" applyFont="1" applyFill="1" applyBorder="1" applyAlignment="1">
      <alignment horizontal="center"/>
      <protection/>
    </xf>
    <xf numFmtId="0" fontId="3" fillId="36" borderId="32" xfId="87" applyFont="1" applyFill="1" applyBorder="1" applyAlignment="1">
      <alignment horizontal="center"/>
      <protection/>
    </xf>
    <xf numFmtId="0" fontId="3" fillId="0" borderId="29" xfId="87" applyFont="1" applyBorder="1" applyAlignment="1">
      <alignment horizontal="center" vertical="center"/>
      <protection/>
    </xf>
    <xf numFmtId="0" fontId="3" fillId="0" borderId="30" xfId="87" applyFont="1" applyBorder="1" applyAlignment="1">
      <alignment horizontal="center" vertical="center"/>
      <protection/>
    </xf>
    <xf numFmtId="0" fontId="3" fillId="0" borderId="29" xfId="87" applyFont="1" applyBorder="1" applyAlignment="1">
      <alignment horizontal="left" vertical="center"/>
      <protection/>
    </xf>
    <xf numFmtId="0" fontId="3" fillId="0" borderId="30" xfId="87" applyFont="1" applyBorder="1" applyAlignment="1">
      <alignment horizontal="left" vertical="center"/>
      <protection/>
    </xf>
    <xf numFmtId="39" fontId="2" fillId="0" borderId="29" xfId="87" applyNumberFormat="1" applyBorder="1" applyAlignment="1">
      <alignment horizontal="center" vertical="center"/>
      <protection/>
    </xf>
    <xf numFmtId="39" fontId="2" fillId="0" borderId="30" xfId="87" applyNumberFormat="1" applyBorder="1" applyAlignment="1">
      <alignment horizontal="center" vertical="center"/>
      <protection/>
    </xf>
    <xf numFmtId="39" fontId="2" fillId="0" borderId="63" xfId="87" applyNumberFormat="1" applyBorder="1" applyAlignment="1">
      <alignment horizontal="center"/>
      <protection/>
    </xf>
    <xf numFmtId="39" fontId="2" fillId="0" borderId="56" xfId="87" applyNumberFormat="1" applyBorder="1" applyAlignment="1">
      <alignment horizontal="center"/>
      <protection/>
    </xf>
    <xf numFmtId="39" fontId="2" fillId="0" borderId="64" xfId="87" applyNumberFormat="1" applyBorder="1" applyAlignment="1">
      <alignment horizontal="center"/>
      <protection/>
    </xf>
    <xf numFmtId="39" fontId="2" fillId="0" borderId="41" xfId="87" applyNumberFormat="1" applyBorder="1" applyAlignment="1">
      <alignment horizontal="center"/>
      <protection/>
    </xf>
    <xf numFmtId="39" fontId="2" fillId="0" borderId="46" xfId="87" applyNumberFormat="1" applyBorder="1" applyAlignment="1">
      <alignment horizontal="center"/>
      <protection/>
    </xf>
    <xf numFmtId="39" fontId="2" fillId="0" borderId="52" xfId="87" applyNumberFormat="1" applyBorder="1" applyAlignment="1">
      <alignment horizontal="center"/>
      <protection/>
    </xf>
    <xf numFmtId="0" fontId="2" fillId="0" borderId="30" xfId="87" applyBorder="1" applyAlignment="1">
      <alignment horizontal="center" vertical="center"/>
      <protection/>
    </xf>
    <xf numFmtId="39" fontId="64" fillId="0" borderId="29" xfId="87" applyNumberFormat="1" applyFont="1" applyBorder="1" applyAlignment="1">
      <alignment horizontal="center" vertical="center"/>
      <protection/>
    </xf>
    <xf numFmtId="39" fontId="64" fillId="0" borderId="30" xfId="87" applyNumberFormat="1" applyFont="1" applyBorder="1" applyAlignment="1">
      <alignment horizontal="center" vertical="center"/>
      <protection/>
    </xf>
    <xf numFmtId="0" fontId="0" fillId="0" borderId="30" xfId="0" applyBorder="1" applyAlignment="1">
      <alignment horizontal="center" vertical="center"/>
    </xf>
    <xf numFmtId="0" fontId="2" fillId="0" borderId="29" xfId="87" applyBorder="1" applyAlignment="1">
      <alignment horizontal="center"/>
      <protection/>
    </xf>
    <xf numFmtId="0" fontId="2" fillId="0" borderId="21" xfId="87" applyBorder="1" applyAlignment="1">
      <alignment horizontal="center"/>
      <protection/>
    </xf>
    <xf numFmtId="0" fontId="2" fillId="0" borderId="30" xfId="87" applyBorder="1" applyAlignment="1">
      <alignment horizontal="center"/>
      <protection/>
    </xf>
    <xf numFmtId="4" fontId="30" fillId="0" borderId="20" xfId="87" applyNumberFormat="1" applyFont="1" applyFill="1" applyBorder="1" applyAlignment="1">
      <alignment/>
      <protection/>
    </xf>
    <xf numFmtId="4" fontId="30" fillId="56" borderId="19" xfId="87" applyNumberFormat="1" applyFont="1" applyFill="1" applyBorder="1" applyAlignment="1">
      <alignment/>
      <protection/>
    </xf>
    <xf numFmtId="0" fontId="33" fillId="0" borderId="0" xfId="87" applyFont="1" applyBorder="1" applyAlignment="1">
      <alignment horizontal="left"/>
      <protection/>
    </xf>
    <xf numFmtId="0" fontId="33" fillId="0" borderId="31" xfId="87" applyFont="1" applyBorder="1" applyAlignment="1">
      <alignment horizontal="left"/>
      <protection/>
    </xf>
    <xf numFmtId="4" fontId="33" fillId="56" borderId="32" xfId="87" applyNumberFormat="1" applyFont="1" applyFill="1" applyBorder="1">
      <alignment/>
      <protection/>
    </xf>
  </cellXfs>
  <cellStyles count="104">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arrafo de 5" xfId="51"/>
    <cellStyle name="Bom" xfId="52"/>
    <cellStyle name="Bom 2" xfId="53"/>
    <cellStyle name="Bom 3" xfId="54"/>
    <cellStyle name="Cálculo" xfId="55"/>
    <cellStyle name="Cálculo 2" xfId="56"/>
    <cellStyle name="Célula de Verificação" xfId="57"/>
    <cellStyle name="Célula de Verificação 2" xfId="58"/>
    <cellStyle name="Célula Vinculada" xfId="59"/>
    <cellStyle name="Célula Vinculada 2" xfId="60"/>
    <cellStyle name="Ênfase1" xfId="61"/>
    <cellStyle name="Ênfase1 2" xfId="62"/>
    <cellStyle name="Ênfase2" xfId="63"/>
    <cellStyle name="Ênfase2 2" xfId="64"/>
    <cellStyle name="Ênfase3" xfId="65"/>
    <cellStyle name="Ênfase3 2" xfId="66"/>
    <cellStyle name="Ênfase4" xfId="67"/>
    <cellStyle name="Ênfase4 2" xfId="68"/>
    <cellStyle name="Ênfase5" xfId="69"/>
    <cellStyle name="Ênfase5 2" xfId="70"/>
    <cellStyle name="Ênfase6" xfId="71"/>
    <cellStyle name="Ênfase6 2" xfId="72"/>
    <cellStyle name="Entrada" xfId="73"/>
    <cellStyle name="Entrada 2" xfId="74"/>
    <cellStyle name="Euro" xfId="75"/>
    <cellStyle name="Incorreto" xfId="76"/>
    <cellStyle name="Incorreto 2" xfId="77"/>
    <cellStyle name="Currency" xfId="78"/>
    <cellStyle name="Currency [0]" xfId="79"/>
    <cellStyle name="Moeda 2" xfId="80"/>
    <cellStyle name="Moeda 3" xfId="81"/>
    <cellStyle name="Moeda 3 2" xfId="82"/>
    <cellStyle name="Neutra" xfId="83"/>
    <cellStyle name="Neutra 2" xfId="84"/>
    <cellStyle name="Normal 2" xfId="85"/>
    <cellStyle name="Normal 2 2" xfId="86"/>
    <cellStyle name="Normal 3" xfId="87"/>
    <cellStyle name="Nota" xfId="88"/>
    <cellStyle name="Nota 2" xfId="89"/>
    <cellStyle name="Percent" xfId="90"/>
    <cellStyle name="Porcentagem 2" xfId="91"/>
    <cellStyle name="Porcentagem 2 2" xfId="92"/>
    <cellStyle name="Porcentagem 3" xfId="93"/>
    <cellStyle name="Porcentagem 3 2" xfId="94"/>
    <cellStyle name="Saída" xfId="95"/>
    <cellStyle name="Saída 2" xfId="96"/>
    <cellStyle name="Comma" xfId="97"/>
    <cellStyle name="Comma [0]" xfId="98"/>
    <cellStyle name="Separador de milhares 2" xfId="99"/>
    <cellStyle name="Separador de milhares 2 2" xfId="100"/>
    <cellStyle name="Texto de Aviso" xfId="101"/>
    <cellStyle name="Texto de Aviso 2" xfId="102"/>
    <cellStyle name="Texto Explicativo" xfId="103"/>
    <cellStyle name="Texto Explicativo 2" xfId="104"/>
    <cellStyle name="Título" xfId="105"/>
    <cellStyle name="Título 1" xfId="106"/>
    <cellStyle name="Título 1 2" xfId="107"/>
    <cellStyle name="Título 2" xfId="108"/>
    <cellStyle name="Título 2 2" xfId="109"/>
    <cellStyle name="Título 3" xfId="110"/>
    <cellStyle name="Título 3 2" xfId="111"/>
    <cellStyle name="Título 4" xfId="112"/>
    <cellStyle name="Título 4 2" xfId="113"/>
    <cellStyle name="Título 5" xfId="114"/>
    <cellStyle name="Total" xfId="115"/>
    <cellStyle name="Total 2" xfId="116"/>
    <cellStyle name="Vírgula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14</xdr:row>
      <xdr:rowOff>38100</xdr:rowOff>
    </xdr:from>
    <xdr:to>
      <xdr:col>3</xdr:col>
      <xdr:colOff>800100</xdr:colOff>
      <xdr:row>14</xdr:row>
      <xdr:rowOff>114300</xdr:rowOff>
    </xdr:to>
    <xdr:sp>
      <xdr:nvSpPr>
        <xdr:cNvPr id="1" name="Retângulo de cantos arredondados 1"/>
        <xdr:cNvSpPr>
          <a:spLocks/>
        </xdr:cNvSpPr>
      </xdr:nvSpPr>
      <xdr:spPr>
        <a:xfrm>
          <a:off x="4210050" y="2533650"/>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16</xdr:row>
      <xdr:rowOff>38100</xdr:rowOff>
    </xdr:from>
    <xdr:to>
      <xdr:col>3</xdr:col>
      <xdr:colOff>800100</xdr:colOff>
      <xdr:row>16</xdr:row>
      <xdr:rowOff>114300</xdr:rowOff>
    </xdr:to>
    <xdr:sp>
      <xdr:nvSpPr>
        <xdr:cNvPr id="2" name="Retângulo de cantos arredondados 2"/>
        <xdr:cNvSpPr>
          <a:spLocks/>
        </xdr:cNvSpPr>
      </xdr:nvSpPr>
      <xdr:spPr>
        <a:xfrm>
          <a:off x="4210050" y="2857500"/>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47625</xdr:colOff>
      <xdr:row>16</xdr:row>
      <xdr:rowOff>38100</xdr:rowOff>
    </xdr:from>
    <xdr:to>
      <xdr:col>8</xdr:col>
      <xdr:colOff>800100</xdr:colOff>
      <xdr:row>16</xdr:row>
      <xdr:rowOff>114300</xdr:rowOff>
    </xdr:to>
    <xdr:sp>
      <xdr:nvSpPr>
        <xdr:cNvPr id="3" name="Retângulo de cantos arredondados 3"/>
        <xdr:cNvSpPr>
          <a:spLocks/>
        </xdr:cNvSpPr>
      </xdr:nvSpPr>
      <xdr:spPr>
        <a:xfrm>
          <a:off x="8391525" y="2857500"/>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18</xdr:row>
      <xdr:rowOff>38100</xdr:rowOff>
    </xdr:from>
    <xdr:to>
      <xdr:col>8</xdr:col>
      <xdr:colOff>809625</xdr:colOff>
      <xdr:row>18</xdr:row>
      <xdr:rowOff>114300</xdr:rowOff>
    </xdr:to>
    <xdr:sp>
      <xdr:nvSpPr>
        <xdr:cNvPr id="4" name="Retângulo de cantos arredondados 4"/>
        <xdr:cNvSpPr>
          <a:spLocks/>
        </xdr:cNvSpPr>
      </xdr:nvSpPr>
      <xdr:spPr>
        <a:xfrm>
          <a:off x="4210050" y="3181350"/>
          <a:ext cx="4943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38100</xdr:colOff>
      <xdr:row>20</xdr:row>
      <xdr:rowOff>47625</xdr:rowOff>
    </xdr:from>
    <xdr:to>
      <xdr:col>5</xdr:col>
      <xdr:colOff>790575</xdr:colOff>
      <xdr:row>20</xdr:row>
      <xdr:rowOff>123825</xdr:rowOff>
    </xdr:to>
    <xdr:sp>
      <xdr:nvSpPr>
        <xdr:cNvPr id="5" name="Retângulo de cantos arredondados 5"/>
        <xdr:cNvSpPr>
          <a:spLocks/>
        </xdr:cNvSpPr>
      </xdr:nvSpPr>
      <xdr:spPr>
        <a:xfrm>
          <a:off x="4200525" y="3514725"/>
          <a:ext cx="244792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22</xdr:row>
      <xdr:rowOff>47625</xdr:rowOff>
    </xdr:from>
    <xdr:to>
      <xdr:col>6</xdr:col>
      <xdr:colOff>771525</xdr:colOff>
      <xdr:row>22</xdr:row>
      <xdr:rowOff>123825</xdr:rowOff>
    </xdr:to>
    <xdr:sp>
      <xdr:nvSpPr>
        <xdr:cNvPr id="6" name="Retângulo de cantos arredondados 6"/>
        <xdr:cNvSpPr>
          <a:spLocks/>
        </xdr:cNvSpPr>
      </xdr:nvSpPr>
      <xdr:spPr>
        <a:xfrm>
          <a:off x="5019675" y="3838575"/>
          <a:ext cx="244792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24</xdr:row>
      <xdr:rowOff>47625</xdr:rowOff>
    </xdr:from>
    <xdr:to>
      <xdr:col>6</xdr:col>
      <xdr:colOff>752475</xdr:colOff>
      <xdr:row>24</xdr:row>
      <xdr:rowOff>114300</xdr:rowOff>
    </xdr:to>
    <xdr:sp>
      <xdr:nvSpPr>
        <xdr:cNvPr id="7" name="Retângulo de cantos arredondados 7"/>
        <xdr:cNvSpPr>
          <a:spLocks/>
        </xdr:cNvSpPr>
      </xdr:nvSpPr>
      <xdr:spPr>
        <a:xfrm>
          <a:off x="4210050" y="4162425"/>
          <a:ext cx="3238500" cy="666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26</xdr:row>
      <xdr:rowOff>47625</xdr:rowOff>
    </xdr:from>
    <xdr:to>
      <xdr:col>7</xdr:col>
      <xdr:colOff>781050</xdr:colOff>
      <xdr:row>26</xdr:row>
      <xdr:rowOff>114300</xdr:rowOff>
    </xdr:to>
    <xdr:sp>
      <xdr:nvSpPr>
        <xdr:cNvPr id="8" name="Retângulo de cantos arredondados 8"/>
        <xdr:cNvSpPr>
          <a:spLocks/>
        </xdr:cNvSpPr>
      </xdr:nvSpPr>
      <xdr:spPr>
        <a:xfrm>
          <a:off x="5038725" y="4486275"/>
          <a:ext cx="3238500" cy="666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xdr:colOff>
      <xdr:row>28</xdr:row>
      <xdr:rowOff>47625</xdr:rowOff>
    </xdr:from>
    <xdr:to>
      <xdr:col>6</xdr:col>
      <xdr:colOff>781050</xdr:colOff>
      <xdr:row>28</xdr:row>
      <xdr:rowOff>123825</xdr:rowOff>
    </xdr:to>
    <xdr:sp>
      <xdr:nvSpPr>
        <xdr:cNvPr id="9" name="Retângulo de cantos arredondados 9"/>
        <xdr:cNvSpPr>
          <a:spLocks/>
        </xdr:cNvSpPr>
      </xdr:nvSpPr>
      <xdr:spPr>
        <a:xfrm>
          <a:off x="5029200" y="4810125"/>
          <a:ext cx="244792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30</xdr:row>
      <xdr:rowOff>47625</xdr:rowOff>
    </xdr:from>
    <xdr:to>
      <xdr:col>5</xdr:col>
      <xdr:colOff>819150</xdr:colOff>
      <xdr:row>30</xdr:row>
      <xdr:rowOff>114300</xdr:rowOff>
    </xdr:to>
    <xdr:sp>
      <xdr:nvSpPr>
        <xdr:cNvPr id="10" name="Retângulo de cantos arredondados 10"/>
        <xdr:cNvSpPr>
          <a:spLocks/>
        </xdr:cNvSpPr>
      </xdr:nvSpPr>
      <xdr:spPr>
        <a:xfrm>
          <a:off x="5038725" y="5133975"/>
          <a:ext cx="1638300" cy="666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32</xdr:row>
      <xdr:rowOff>47625</xdr:rowOff>
    </xdr:from>
    <xdr:to>
      <xdr:col>5</xdr:col>
      <xdr:colOff>790575</xdr:colOff>
      <xdr:row>32</xdr:row>
      <xdr:rowOff>123825</xdr:rowOff>
    </xdr:to>
    <xdr:sp>
      <xdr:nvSpPr>
        <xdr:cNvPr id="11" name="Retângulo de cantos arredondados 11"/>
        <xdr:cNvSpPr>
          <a:spLocks/>
        </xdr:cNvSpPr>
      </xdr:nvSpPr>
      <xdr:spPr>
        <a:xfrm>
          <a:off x="5895975" y="5457825"/>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34</xdr:row>
      <xdr:rowOff>47625</xdr:rowOff>
    </xdr:from>
    <xdr:to>
      <xdr:col>5</xdr:col>
      <xdr:colOff>790575</xdr:colOff>
      <xdr:row>34</xdr:row>
      <xdr:rowOff>123825</xdr:rowOff>
    </xdr:to>
    <xdr:sp>
      <xdr:nvSpPr>
        <xdr:cNvPr id="12" name="Retângulo de cantos arredondados 12"/>
        <xdr:cNvSpPr>
          <a:spLocks/>
        </xdr:cNvSpPr>
      </xdr:nvSpPr>
      <xdr:spPr>
        <a:xfrm>
          <a:off x="5895975" y="5781675"/>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40</xdr:row>
      <xdr:rowOff>38100</xdr:rowOff>
    </xdr:from>
    <xdr:to>
      <xdr:col>5</xdr:col>
      <xdr:colOff>790575</xdr:colOff>
      <xdr:row>40</xdr:row>
      <xdr:rowOff>114300</xdr:rowOff>
    </xdr:to>
    <xdr:sp>
      <xdr:nvSpPr>
        <xdr:cNvPr id="13" name="Retângulo de cantos arredondados 13"/>
        <xdr:cNvSpPr>
          <a:spLocks/>
        </xdr:cNvSpPr>
      </xdr:nvSpPr>
      <xdr:spPr>
        <a:xfrm>
          <a:off x="5895975" y="6743700"/>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38</xdr:row>
      <xdr:rowOff>38100</xdr:rowOff>
    </xdr:from>
    <xdr:to>
      <xdr:col>5</xdr:col>
      <xdr:colOff>790575</xdr:colOff>
      <xdr:row>38</xdr:row>
      <xdr:rowOff>114300</xdr:rowOff>
    </xdr:to>
    <xdr:sp>
      <xdr:nvSpPr>
        <xdr:cNvPr id="14" name="Retângulo de cantos arredondados 14"/>
        <xdr:cNvSpPr>
          <a:spLocks/>
        </xdr:cNvSpPr>
      </xdr:nvSpPr>
      <xdr:spPr>
        <a:xfrm>
          <a:off x="5895975" y="6419850"/>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36</xdr:row>
      <xdr:rowOff>47625</xdr:rowOff>
    </xdr:from>
    <xdr:to>
      <xdr:col>4</xdr:col>
      <xdr:colOff>790575</xdr:colOff>
      <xdr:row>36</xdr:row>
      <xdr:rowOff>123825</xdr:rowOff>
    </xdr:to>
    <xdr:sp>
      <xdr:nvSpPr>
        <xdr:cNvPr id="15" name="Retângulo de cantos arredondados 15"/>
        <xdr:cNvSpPr>
          <a:spLocks/>
        </xdr:cNvSpPr>
      </xdr:nvSpPr>
      <xdr:spPr>
        <a:xfrm>
          <a:off x="5048250" y="6105525"/>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46</xdr:row>
      <xdr:rowOff>38100</xdr:rowOff>
    </xdr:from>
    <xdr:to>
      <xdr:col>8</xdr:col>
      <xdr:colOff>809625</xdr:colOff>
      <xdr:row>46</xdr:row>
      <xdr:rowOff>104775</xdr:rowOff>
    </xdr:to>
    <xdr:sp>
      <xdr:nvSpPr>
        <xdr:cNvPr id="16" name="Retângulo de cantos arredondados 16"/>
        <xdr:cNvSpPr>
          <a:spLocks/>
        </xdr:cNvSpPr>
      </xdr:nvSpPr>
      <xdr:spPr>
        <a:xfrm>
          <a:off x="4219575" y="7715250"/>
          <a:ext cx="4933950" cy="666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xdr:colOff>
      <xdr:row>42</xdr:row>
      <xdr:rowOff>47625</xdr:rowOff>
    </xdr:from>
    <xdr:to>
      <xdr:col>4</xdr:col>
      <xdr:colOff>800100</xdr:colOff>
      <xdr:row>42</xdr:row>
      <xdr:rowOff>123825</xdr:rowOff>
    </xdr:to>
    <xdr:sp>
      <xdr:nvSpPr>
        <xdr:cNvPr id="17" name="Retângulo de cantos arredondados 17"/>
        <xdr:cNvSpPr>
          <a:spLocks/>
        </xdr:cNvSpPr>
      </xdr:nvSpPr>
      <xdr:spPr>
        <a:xfrm>
          <a:off x="5057775" y="7077075"/>
          <a:ext cx="752475" cy="762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xdr:colOff>
      <xdr:row>44</xdr:row>
      <xdr:rowOff>47625</xdr:rowOff>
    </xdr:from>
    <xdr:to>
      <xdr:col>8</xdr:col>
      <xdr:colOff>9525</xdr:colOff>
      <xdr:row>44</xdr:row>
      <xdr:rowOff>114300</xdr:rowOff>
    </xdr:to>
    <xdr:sp>
      <xdr:nvSpPr>
        <xdr:cNvPr id="18" name="Retângulo de cantos arredondados 18"/>
        <xdr:cNvSpPr>
          <a:spLocks/>
        </xdr:cNvSpPr>
      </xdr:nvSpPr>
      <xdr:spPr>
        <a:xfrm>
          <a:off x="6715125" y="7400925"/>
          <a:ext cx="1638300" cy="666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_densp_cgesa\cgesa\Users\VIRGIN~1.JOR\AppData\Local\Temp\Rar$DI02.166\PLANILHA%20-%20MHCDCVILABOA09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_densp_cgesa\cgesa\Users\VIRGIN~1.JOR\AppData\Local\Temp\Rar$DI02.166\PlanCustoac&#243;rd&#227;oTCU32507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_densp_cgesa\cgesa\joaoleite\mascara\Cust2Qca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_densp_cgesa\cgesa\Users\VIRGIN~1.JOR\AppData\Local\Temp\Rar$DI02.166\PlanCustochagasjan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20P%20R%20O%20G%20R%20A%20M%20A%20S\1%20-%20MSD_MHCDCh\2%20-%20MELHORIAS%20HABITACIONAIS%20PARA%20O%20CONTROLE%20DA%20DOEN&#199;A%20DE%20CHAGAS\2013\Modelos\Modelo%20Projeto%20B&#225;sico%20-%20Habita&#231;&#227;o%20de%201%20Quarto\Plan%20p%20Pro%20B&#225;sico%20_%20Habita&#231;&#227;o%20de%201%20quar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NÇ. DADOS"/>
      <sheetName val="LDI - BDI"/>
      <sheetName val="PLACA"/>
      <sheetName val="CREA"/>
      <sheetName val="Plan.Total"/>
      <sheetName val="Cronog. TOTAL"/>
      <sheetName val="Plan1Q"/>
      <sheetName val="Cronog. 1Q"/>
      <sheetName val="MemCalc1Q"/>
      <sheetName val="Plan2Q"/>
      <sheetName val="Cronog. 2Q"/>
      <sheetName val="MemCalc2Q"/>
      <sheetName val="Plan3Q"/>
      <sheetName val="Cronog. 3Q"/>
      <sheetName val="MemCalc3Q"/>
      <sheetName val="Plan4Q"/>
      <sheetName val="MemCalc4Q"/>
      <sheetName val="Cronog. 4Q"/>
      <sheetName val="ANEXO V"/>
      <sheetName val="ANEXO VI"/>
    </sheetNames>
    <sheetDataSet>
      <sheetData sheetId="0">
        <row r="3">
          <cell r="C3" t="str">
            <v>2009/2012</v>
          </cell>
        </row>
      </sheetData>
      <sheetData sheetId="1">
        <row r="26">
          <cell r="C26">
            <v>0.15002172370617672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NÇ. DADOS"/>
      <sheetName val="CREA "/>
      <sheetName val="LDI - BDI"/>
      <sheetName val="InsumoGO042011"/>
      <sheetName val="Tabela de salários"/>
      <sheetName val="Tabela Sindicato"/>
      <sheetName val="Encargos Sociais"/>
      <sheetName val="Memcalc cA IQ"/>
      <sheetName val="Memcalc cA IIQ"/>
      <sheetName val="Memcalc cA IIIQ"/>
      <sheetName val="Memcalc cA IVQ"/>
      <sheetName val="Servpreliminares"/>
      <sheetName val="Transporte e Carga"/>
      <sheetName val="Diversos"/>
      <sheetName val="FundaçõesEstrutura"/>
      <sheetName val="Pavimentação"/>
      <sheetName val="Vedação"/>
      <sheetName val="Revestimentos"/>
      <sheetName val="Cobertura"/>
      <sheetName val="Esquadrias"/>
      <sheetName val="Inst. hidráulicas"/>
      <sheetName val="Louças e acessórios"/>
      <sheetName val="Tanque lav. roupa"/>
      <sheetName val="Inst. sanitárias"/>
      <sheetName val="Inst.Elétricas"/>
      <sheetName val="Pinturas"/>
      <sheetName val="MãoObra"/>
      <sheetName val="Placa de obra"/>
      <sheetName val="PlanumQ"/>
      <sheetName val="PlandoisQ"/>
      <sheetName val="PlanTresQ"/>
      <sheetName val="PlanQuatroQ"/>
      <sheetName val="Cronograma IQ"/>
      <sheetName val="Cronograma IIQ"/>
      <sheetName val="Cronograma IIIQ"/>
      <sheetName val="Cronograma IVQ"/>
      <sheetName val="Dados geração curva"/>
      <sheetName val="Curva ABC"/>
    </sheetNames>
    <sheetDataSet>
      <sheetData sheetId="0">
        <row r="5">
          <cell r="C5" t="str">
            <v>SINAPI</v>
          </cell>
        </row>
        <row r="15">
          <cell r="E15">
            <v>186.2</v>
          </cell>
        </row>
      </sheetData>
      <sheetData sheetId="3">
        <row r="57">
          <cell r="E57">
            <v>4.08</v>
          </cell>
        </row>
        <row r="99">
          <cell r="E99">
            <v>15.48</v>
          </cell>
        </row>
        <row r="135">
          <cell r="E135">
            <v>7.436784</v>
          </cell>
        </row>
        <row r="136">
          <cell r="E136">
            <v>8.71498125</v>
          </cell>
        </row>
        <row r="163">
          <cell r="E163">
            <v>8.5</v>
          </cell>
        </row>
        <row r="164">
          <cell r="E164">
            <v>7</v>
          </cell>
        </row>
        <row r="180">
          <cell r="E180">
            <v>6.62</v>
          </cell>
        </row>
        <row r="199">
          <cell r="E199">
            <v>41.4</v>
          </cell>
        </row>
      </sheetData>
      <sheetData sheetId="5">
        <row r="8">
          <cell r="E8">
            <v>6.24</v>
          </cell>
        </row>
        <row r="12">
          <cell r="E12">
            <v>3.3342727272727273</v>
          </cell>
        </row>
      </sheetData>
      <sheetData sheetId="7">
        <row r="219">
          <cell r="K219">
            <v>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a de insumos"/>
      <sheetName val="Tabela de salários"/>
      <sheetName val="Tabela Sindicato"/>
      <sheetName val="Encargos Sociais"/>
      <sheetName val="Memória de cálculo II"/>
      <sheetName val="Memória de calculo III"/>
      <sheetName val="Serviços preliminares"/>
      <sheetName val="Fundações"/>
      <sheetName val="Pavimentação"/>
      <sheetName val="Vedação"/>
      <sheetName val="Revestimentos"/>
      <sheetName val="Cobertura"/>
      <sheetName val="Esquadrias"/>
      <sheetName val="Inst. hidráulicas_II"/>
      <sheetName val="Inst. hidráulicas_III"/>
      <sheetName val="Louças e acessórios"/>
      <sheetName val="Tanque lav. roupa"/>
      <sheetName val="Inst. sanitárias"/>
      <sheetName val="Inst.Elétricas"/>
      <sheetName val="Pinturas"/>
      <sheetName val="Placa de cimento"/>
      <sheetName val="Placa de obra"/>
      <sheetName val="Planilha_II"/>
      <sheetName val="Planilha_III"/>
      <sheetName val="Cronograma_II"/>
      <sheetName val="Curva ABC_II"/>
      <sheetName val="Composição BDI_ II"/>
      <sheetName val="Dados geração curva"/>
      <sheetName val="Cronograma_III"/>
      <sheetName val="Curva ABC_III"/>
      <sheetName val="Composição BDI_ III"/>
    </sheetNames>
    <sheetDataSet>
      <sheetData sheetId="3">
        <row r="52">
          <cell r="C52">
            <v>119.89992269999999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ANÇ. DADOS"/>
      <sheetName val="LDI - BDI"/>
      <sheetName val="CASA 1Q"/>
      <sheetName val="Cronograma IQ"/>
      <sheetName val="CASA 2Q"/>
      <sheetName val="Cronograma IIQ"/>
      <sheetName val="CASA 3Q"/>
      <sheetName val="Cronograma IIIQ"/>
      <sheetName val="CASA 4Q"/>
      <sheetName val="Cronograma IVQ"/>
      <sheetName val="CronogramaTOTAL"/>
    </sheetNames>
    <sheetDataSet>
      <sheetData sheetId="0">
        <row r="15">
          <cell r="C15">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mCalc1Q"/>
      <sheetName val="CASA 1Q"/>
      <sheetName val="Placa de obra"/>
      <sheetName val="LDI - BDI"/>
      <sheetName val="Cronograma 1Q"/>
    </sheetNames>
    <sheetDataSet>
      <sheetData sheetId="0">
        <row r="98">
          <cell r="C98" t="str">
            <v>Lastro de brita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Y119"/>
  <sheetViews>
    <sheetView zoomScaleSheetLayoutView="115" zoomScalePageLayoutView="0" workbookViewId="0" topLeftCell="B1">
      <selection activeCell="M114" sqref="M114"/>
    </sheetView>
  </sheetViews>
  <sheetFormatPr defaultColWidth="9.140625" defaultRowHeight="15"/>
  <cols>
    <col min="1" max="1" width="2.8515625" style="44" customWidth="1"/>
    <col min="2" max="2" width="9.421875" style="57" customWidth="1"/>
    <col min="3" max="3" width="73.57421875" style="44" customWidth="1"/>
    <col min="4" max="4" width="7.140625" style="44" customWidth="1"/>
    <col min="5" max="5" width="9.140625" style="44" customWidth="1"/>
    <col min="6" max="6" width="1.8515625" style="44" customWidth="1"/>
    <col min="7" max="7" width="9.140625" style="44" customWidth="1"/>
    <col min="8" max="8" width="1.8515625" style="44" customWidth="1"/>
    <col min="9" max="9" width="10.57421875" style="44" customWidth="1"/>
    <col min="10" max="10" width="1.8515625" style="44" customWidth="1"/>
    <col min="11" max="11" width="9.140625" style="44" customWidth="1"/>
    <col min="12" max="12" width="1.8515625" style="44" customWidth="1"/>
    <col min="13" max="13" width="9.140625" style="44" customWidth="1"/>
    <col min="14" max="14" width="3.421875" style="44" customWidth="1"/>
    <col min="15" max="15" width="9.140625" style="90" customWidth="1"/>
    <col min="16" max="16" width="4.7109375" style="90" customWidth="1"/>
    <col min="17" max="25" width="9.140625" style="90" customWidth="1"/>
    <col min="26" max="16384" width="9.140625" style="44" customWidth="1"/>
  </cols>
  <sheetData>
    <row r="1" spans="1:25" s="39" customFormat="1" ht="23.25" customHeight="1">
      <c r="A1" s="91"/>
      <c r="B1" s="302" t="s">
        <v>147</v>
      </c>
      <c r="C1" s="302"/>
      <c r="D1" s="302"/>
      <c r="E1" s="302"/>
      <c r="F1" s="302"/>
      <c r="G1" s="302"/>
      <c r="H1" s="302"/>
      <c r="I1" s="302"/>
      <c r="J1" s="302"/>
      <c r="K1" s="302"/>
      <c r="L1" s="302"/>
      <c r="M1" s="302"/>
      <c r="N1" s="85"/>
      <c r="O1" s="90"/>
      <c r="P1" s="90"/>
      <c r="Q1" s="90"/>
      <c r="R1" s="90"/>
      <c r="S1" s="90"/>
      <c r="T1" s="90"/>
      <c r="U1" s="90"/>
      <c r="V1" s="90"/>
      <c r="W1" s="90"/>
      <c r="X1" s="90"/>
      <c r="Y1" s="90"/>
    </row>
    <row r="2" spans="1:25" s="39" customFormat="1" ht="47.25" customHeight="1">
      <c r="A2" s="92"/>
      <c r="B2" s="303" t="s">
        <v>277</v>
      </c>
      <c r="C2" s="303"/>
      <c r="D2" s="83" t="s">
        <v>437</v>
      </c>
      <c r="E2" s="83">
        <v>44.98</v>
      </c>
      <c r="F2" s="83"/>
      <c r="G2" s="83" t="s">
        <v>7</v>
      </c>
      <c r="H2" s="74"/>
      <c r="I2" s="304" t="s">
        <v>149</v>
      </c>
      <c r="J2" s="305"/>
      <c r="K2" s="307">
        <v>0</v>
      </c>
      <c r="L2" s="308"/>
      <c r="M2" s="309"/>
      <c r="N2" s="86"/>
      <c r="O2" s="90"/>
      <c r="P2" s="90"/>
      <c r="Q2" s="90"/>
      <c r="R2" s="90"/>
      <c r="S2" s="90"/>
      <c r="T2" s="90"/>
      <c r="U2" s="90"/>
      <c r="V2" s="90"/>
      <c r="W2" s="90"/>
      <c r="X2" s="90"/>
      <c r="Y2" s="90"/>
    </row>
    <row r="3" spans="1:25" s="39" customFormat="1" ht="15" customHeight="1">
      <c r="A3" s="92"/>
      <c r="B3" s="306" t="s">
        <v>441</v>
      </c>
      <c r="C3" s="306"/>
      <c r="D3" s="306"/>
      <c r="E3" s="306"/>
      <c r="F3" s="306"/>
      <c r="G3" s="306"/>
      <c r="H3" s="306"/>
      <c r="I3" s="306"/>
      <c r="J3" s="306"/>
      <c r="K3" s="306"/>
      <c r="L3" s="306"/>
      <c r="M3" s="306"/>
      <c r="N3" s="86"/>
      <c r="O3" s="90"/>
      <c r="P3" s="90"/>
      <c r="Q3" s="90"/>
      <c r="R3" s="90"/>
      <c r="S3" s="90"/>
      <c r="T3" s="90"/>
      <c r="U3" s="90"/>
      <c r="V3" s="90"/>
      <c r="W3" s="90"/>
      <c r="X3" s="90"/>
      <c r="Y3" s="90"/>
    </row>
    <row r="4" spans="1:25" s="39" customFormat="1" ht="30" customHeight="1">
      <c r="A4" s="92"/>
      <c r="B4" s="303" t="s">
        <v>438</v>
      </c>
      <c r="C4" s="303"/>
      <c r="D4" s="303"/>
      <c r="E4" s="303"/>
      <c r="F4" s="303"/>
      <c r="G4" s="303"/>
      <c r="H4" s="303"/>
      <c r="I4" s="303"/>
      <c r="J4" s="303"/>
      <c r="K4" s="303"/>
      <c r="L4" s="303"/>
      <c r="M4" s="303"/>
      <c r="N4" s="86"/>
      <c r="O4" s="90"/>
      <c r="P4" s="90"/>
      <c r="Q4" s="90"/>
      <c r="R4" s="90"/>
      <c r="S4" s="90"/>
      <c r="T4" s="90"/>
      <c r="U4" s="90"/>
      <c r="V4" s="90"/>
      <c r="W4" s="90"/>
      <c r="X4" s="90"/>
      <c r="Y4" s="90"/>
    </row>
    <row r="5" spans="1:25" s="39" customFormat="1" ht="15.75" customHeight="1">
      <c r="A5" s="92"/>
      <c r="B5" s="322" t="s">
        <v>278</v>
      </c>
      <c r="C5" s="322"/>
      <c r="D5" s="313" t="s">
        <v>440</v>
      </c>
      <c r="E5" s="314"/>
      <c r="F5" s="315"/>
      <c r="G5" s="40"/>
      <c r="H5" s="40"/>
      <c r="I5" s="40"/>
      <c r="J5" s="41"/>
      <c r="K5" s="310" t="s">
        <v>198</v>
      </c>
      <c r="L5" s="311"/>
      <c r="M5" s="58">
        <f>'[1]LDI - BDI'!$C$26</f>
        <v>0.15002172370617672</v>
      </c>
      <c r="N5" s="86"/>
      <c r="O5" s="90"/>
      <c r="P5" s="90"/>
      <c r="Q5" s="90"/>
      <c r="R5" s="90"/>
      <c r="S5" s="90"/>
      <c r="T5" s="90"/>
      <c r="U5" s="90"/>
      <c r="V5" s="90"/>
      <c r="W5" s="90"/>
      <c r="X5" s="90"/>
      <c r="Y5" s="90"/>
    </row>
    <row r="6" spans="1:25" s="39" customFormat="1" ht="15.75" customHeight="1">
      <c r="A6" s="92"/>
      <c r="B6" s="312" t="s">
        <v>151</v>
      </c>
      <c r="C6" s="312"/>
      <c r="D6" s="313" t="s">
        <v>152</v>
      </c>
      <c r="E6" s="314" t="str">
        <f>'[1]LANÇ. DADOS'!C3</f>
        <v>2009/2012</v>
      </c>
      <c r="F6" s="315" t="e">
        <f>'[1]LANÇ. DADOS'!D3</f>
        <v>#REF!</v>
      </c>
      <c r="G6" s="316" t="s">
        <v>572</v>
      </c>
      <c r="H6" s="317" t="e">
        <f>'[1]LANÇ. DADOS'!F3</f>
        <v>#REF!</v>
      </c>
      <c r="I6" s="318" t="e">
        <f>'[1]LANÇ. DADOS'!#REF!</f>
        <v>#REF!</v>
      </c>
      <c r="J6" s="42"/>
      <c r="K6" s="319" t="s">
        <v>439</v>
      </c>
      <c r="L6" s="314" t="e">
        <f>'[1]LANÇ. DADOS'!#REF!</f>
        <v>#REF!</v>
      </c>
      <c r="M6" s="315" t="e">
        <f>'[1]LANÇ. DADOS'!#REF!</f>
        <v>#REF!</v>
      </c>
      <c r="N6" s="86"/>
      <c r="O6" s="90"/>
      <c r="P6" s="90"/>
      <c r="Q6" s="90"/>
      <c r="R6" s="90"/>
      <c r="S6" s="90"/>
      <c r="T6" s="90"/>
      <c r="U6" s="90"/>
      <c r="V6" s="90"/>
      <c r="W6" s="90"/>
      <c r="X6" s="90"/>
      <c r="Y6" s="90"/>
    </row>
    <row r="7" spans="1:14" ht="12.75">
      <c r="A7" s="82"/>
      <c r="B7" s="43"/>
      <c r="C7" s="59"/>
      <c r="D7" s="45"/>
      <c r="E7" s="45"/>
      <c r="F7" s="45"/>
      <c r="G7" s="45"/>
      <c r="H7" s="45"/>
      <c r="I7" s="45"/>
      <c r="J7" s="45"/>
      <c r="K7" s="45"/>
      <c r="L7" s="45"/>
      <c r="M7" s="45"/>
      <c r="N7" s="87"/>
    </row>
    <row r="8" spans="1:14" ht="12.75">
      <c r="A8" s="82"/>
      <c r="B8" s="81" t="s">
        <v>279</v>
      </c>
      <c r="C8" s="323" t="s">
        <v>280</v>
      </c>
      <c r="D8" s="324"/>
      <c r="E8" s="324"/>
      <c r="F8" s="324"/>
      <c r="G8" s="324"/>
      <c r="H8" s="324"/>
      <c r="I8" s="45"/>
      <c r="J8" s="45"/>
      <c r="K8" s="45"/>
      <c r="L8" s="45"/>
      <c r="M8" s="45"/>
      <c r="N8" s="87"/>
    </row>
    <row r="9" spans="1:14" ht="12.75">
      <c r="A9" s="82"/>
      <c r="B9" s="47" t="s">
        <v>281</v>
      </c>
      <c r="C9" s="60" t="s">
        <v>282</v>
      </c>
      <c r="D9" s="75"/>
      <c r="E9" s="61">
        <v>5.95</v>
      </c>
      <c r="F9" s="47" t="s">
        <v>273</v>
      </c>
      <c r="G9" s="61">
        <v>7.56</v>
      </c>
      <c r="H9" s="47"/>
      <c r="I9" s="61"/>
      <c r="J9" s="47"/>
      <c r="K9" s="61"/>
      <c r="L9" s="47" t="s">
        <v>274</v>
      </c>
      <c r="M9" s="61">
        <f>(E9*G9)</f>
        <v>44.982</v>
      </c>
      <c r="N9" s="87"/>
    </row>
    <row r="10" spans="1:14" ht="12.75">
      <c r="A10" s="82"/>
      <c r="B10" s="47" t="s">
        <v>283</v>
      </c>
      <c r="C10" s="60" t="s">
        <v>107</v>
      </c>
      <c r="D10" s="75"/>
      <c r="E10" s="61">
        <v>6.85</v>
      </c>
      <c r="F10" s="47" t="s">
        <v>273</v>
      </c>
      <c r="G10" s="61">
        <v>8.46</v>
      </c>
      <c r="H10" s="47"/>
      <c r="I10" s="61"/>
      <c r="J10" s="47"/>
      <c r="K10" s="61"/>
      <c r="L10" s="47" t="s">
        <v>274</v>
      </c>
      <c r="M10" s="61">
        <f>(E10*G10)</f>
        <v>57.951</v>
      </c>
      <c r="N10" s="87"/>
    </row>
    <row r="11" spans="1:14" ht="12.75">
      <c r="A11" s="82"/>
      <c r="B11" s="47" t="s">
        <v>284</v>
      </c>
      <c r="C11" s="60" t="s">
        <v>285</v>
      </c>
      <c r="D11" s="75"/>
      <c r="E11" s="61">
        <v>2.2</v>
      </c>
      <c r="F11" s="47" t="s">
        <v>273</v>
      </c>
      <c r="G11" s="61">
        <v>4</v>
      </c>
      <c r="H11" s="47"/>
      <c r="I11" s="61"/>
      <c r="J11" s="47" t="s">
        <v>273</v>
      </c>
      <c r="K11" s="61"/>
      <c r="L11" s="47" t="s">
        <v>274</v>
      </c>
      <c r="M11" s="61">
        <f>(E11*G11)-(I11*K11)</f>
        <v>8.8</v>
      </c>
      <c r="N11" s="87"/>
    </row>
    <row r="12" spans="1:14" ht="12.75">
      <c r="A12" s="82"/>
      <c r="B12" s="47"/>
      <c r="C12" s="60"/>
      <c r="D12" s="75"/>
      <c r="E12" s="75"/>
      <c r="F12" s="47"/>
      <c r="G12" s="75"/>
      <c r="H12" s="47"/>
      <c r="I12" s="75"/>
      <c r="J12" s="47"/>
      <c r="K12" s="75"/>
      <c r="L12" s="47"/>
      <c r="M12" s="75"/>
      <c r="N12" s="87"/>
    </row>
    <row r="13" spans="1:14" ht="12.75">
      <c r="A13" s="82"/>
      <c r="B13" s="81" t="s">
        <v>286</v>
      </c>
      <c r="C13" s="71" t="s">
        <v>287</v>
      </c>
      <c r="D13" s="325"/>
      <c r="E13" s="325"/>
      <c r="F13" s="325"/>
      <c r="G13" s="325"/>
      <c r="H13" s="325"/>
      <c r="I13" s="325"/>
      <c r="J13" s="75"/>
      <c r="K13" s="75"/>
      <c r="L13" s="47"/>
      <c r="M13" s="75"/>
      <c r="N13" s="87"/>
    </row>
    <row r="14" spans="1:15" ht="25.5">
      <c r="A14" s="82"/>
      <c r="B14" s="47" t="s">
        <v>288</v>
      </c>
      <c r="C14" s="73" t="s">
        <v>410</v>
      </c>
      <c r="D14" s="75"/>
      <c r="E14" s="46">
        <v>2</v>
      </c>
      <c r="F14" s="47" t="s">
        <v>273</v>
      </c>
      <c r="G14" s="46">
        <f>7*2*20</f>
        <v>280</v>
      </c>
      <c r="H14" s="72" t="s">
        <v>302</v>
      </c>
      <c r="I14" s="46">
        <v>2</v>
      </c>
      <c r="J14" s="47" t="s">
        <v>273</v>
      </c>
      <c r="K14" s="46">
        <f>20*16.5325</f>
        <v>330.65</v>
      </c>
      <c r="L14" s="72" t="s">
        <v>274</v>
      </c>
      <c r="M14" s="46">
        <f>(E14*G14)+(I14*K14)</f>
        <v>1221.3</v>
      </c>
      <c r="N14" s="87"/>
      <c r="O14" s="95"/>
    </row>
    <row r="15" spans="1:14" ht="12.75">
      <c r="A15" s="82"/>
      <c r="B15" s="47" t="s">
        <v>289</v>
      </c>
      <c r="C15" s="60" t="s">
        <v>290</v>
      </c>
      <c r="D15" s="75"/>
      <c r="E15" s="46">
        <v>1</v>
      </c>
      <c r="F15" s="72" t="s">
        <v>291</v>
      </c>
      <c r="G15" s="46">
        <v>50</v>
      </c>
      <c r="H15" s="72"/>
      <c r="I15" s="46"/>
      <c r="J15" s="72"/>
      <c r="K15" s="46"/>
      <c r="L15" s="72" t="s">
        <v>274</v>
      </c>
      <c r="M15" s="46">
        <f>E15/G15</f>
        <v>0.02</v>
      </c>
      <c r="N15" s="87"/>
    </row>
    <row r="16" spans="1:14" ht="12.75">
      <c r="A16" s="82"/>
      <c r="B16" s="47"/>
      <c r="C16" s="60"/>
      <c r="D16" s="75"/>
      <c r="E16" s="75"/>
      <c r="F16" s="75"/>
      <c r="G16" s="75"/>
      <c r="H16" s="75"/>
      <c r="I16" s="75"/>
      <c r="J16" s="75"/>
      <c r="K16" s="75"/>
      <c r="L16" s="47"/>
      <c r="M16" s="75"/>
      <c r="N16" s="87"/>
    </row>
    <row r="17" spans="1:14" ht="12.75">
      <c r="A17" s="82"/>
      <c r="B17" s="81" t="s">
        <v>292</v>
      </c>
      <c r="C17" s="326" t="s">
        <v>11</v>
      </c>
      <c r="D17" s="327"/>
      <c r="E17" s="327"/>
      <c r="F17" s="327"/>
      <c r="G17" s="327"/>
      <c r="H17" s="327"/>
      <c r="I17" s="75"/>
      <c r="J17" s="75"/>
      <c r="K17" s="75"/>
      <c r="L17" s="47"/>
      <c r="M17" s="75"/>
      <c r="N17" s="87"/>
    </row>
    <row r="18" spans="1:14" ht="12.75">
      <c r="A18" s="82"/>
      <c r="B18" s="47" t="s">
        <v>293</v>
      </c>
      <c r="C18" s="60" t="s">
        <v>294</v>
      </c>
      <c r="D18" s="75"/>
      <c r="E18" s="55">
        <v>4.4</v>
      </c>
      <c r="F18" s="72" t="s">
        <v>291</v>
      </c>
      <c r="G18" s="46">
        <v>36.2</v>
      </c>
      <c r="H18" s="72" t="s">
        <v>295</v>
      </c>
      <c r="I18" s="46">
        <f>M9</f>
        <v>44.982</v>
      </c>
      <c r="J18" s="72"/>
      <c r="K18" s="46"/>
      <c r="L18" s="72" t="s">
        <v>274</v>
      </c>
      <c r="M18" s="46">
        <f>E18/G18*I18</f>
        <v>5.467425414364641</v>
      </c>
      <c r="N18" s="87"/>
    </row>
    <row r="19" spans="1:14" ht="12.75">
      <c r="A19" s="82"/>
      <c r="B19" s="47" t="s">
        <v>296</v>
      </c>
      <c r="C19" s="60" t="s">
        <v>297</v>
      </c>
      <c r="D19" s="75"/>
      <c r="E19" s="55">
        <v>8.8</v>
      </c>
      <c r="F19" s="72" t="s">
        <v>291</v>
      </c>
      <c r="G19" s="46">
        <v>36.2</v>
      </c>
      <c r="H19" s="72" t="s">
        <v>295</v>
      </c>
      <c r="I19" s="46">
        <f>M9</f>
        <v>44.982</v>
      </c>
      <c r="J19" s="72"/>
      <c r="K19" s="46"/>
      <c r="L19" s="72" t="s">
        <v>274</v>
      </c>
      <c r="M19" s="46">
        <f>E19/G19*I19</f>
        <v>10.934850828729282</v>
      </c>
      <c r="N19" s="87"/>
    </row>
    <row r="20" spans="1:14" ht="12.75">
      <c r="A20" s="82"/>
      <c r="B20" s="47" t="s">
        <v>298</v>
      </c>
      <c r="C20" s="60" t="s">
        <v>299</v>
      </c>
      <c r="D20" s="75"/>
      <c r="E20" s="78">
        <v>1</v>
      </c>
      <c r="F20" s="79" t="s">
        <v>302</v>
      </c>
      <c r="G20" s="78">
        <v>1</v>
      </c>
      <c r="H20" s="84"/>
      <c r="I20" s="78"/>
      <c r="J20" s="79"/>
      <c r="K20" s="78"/>
      <c r="L20" s="84" t="s">
        <v>274</v>
      </c>
      <c r="M20" s="78">
        <f>E20+G20</f>
        <v>2</v>
      </c>
      <c r="N20" s="87"/>
    </row>
    <row r="21" spans="1:14" ht="12.75">
      <c r="A21" s="82"/>
      <c r="B21" s="47" t="s">
        <v>300</v>
      </c>
      <c r="C21" s="60" t="s">
        <v>301</v>
      </c>
      <c r="D21" s="75"/>
      <c r="E21" s="78">
        <f>2*2*25</f>
        <v>100</v>
      </c>
      <c r="F21" s="79" t="s">
        <v>302</v>
      </c>
      <c r="G21" s="78">
        <f>1*2*25</f>
        <v>50</v>
      </c>
      <c r="H21" s="84"/>
      <c r="I21" s="78"/>
      <c r="J21" s="79"/>
      <c r="K21" s="78"/>
      <c r="L21" s="84" t="s">
        <v>274</v>
      </c>
      <c r="M21" s="78">
        <f>E21+G21</f>
        <v>150</v>
      </c>
      <c r="N21" s="87"/>
    </row>
    <row r="22" spans="1:14" ht="12.75">
      <c r="A22" s="82"/>
      <c r="B22" s="47" t="s">
        <v>303</v>
      </c>
      <c r="C22" s="76" t="s">
        <v>304</v>
      </c>
      <c r="D22" s="75"/>
      <c r="E22" s="76"/>
      <c r="F22" s="76"/>
      <c r="G22" s="76"/>
      <c r="H22" s="76"/>
      <c r="I22" s="72"/>
      <c r="J22" s="47"/>
      <c r="K22" s="72"/>
      <c r="L22" s="72"/>
      <c r="M22" s="49"/>
      <c r="N22" s="87"/>
    </row>
    <row r="23" spans="1:14" ht="12.75">
      <c r="A23" s="82"/>
      <c r="B23" s="47" t="s">
        <v>431</v>
      </c>
      <c r="C23" s="60" t="s">
        <v>14</v>
      </c>
      <c r="D23" s="47"/>
      <c r="E23" s="78">
        <f>(1/2)*2</f>
        <v>1</v>
      </c>
      <c r="F23" s="79"/>
      <c r="G23" s="78"/>
      <c r="H23" s="80"/>
      <c r="I23" s="78"/>
      <c r="J23" s="79"/>
      <c r="K23" s="78"/>
      <c r="L23" s="84" t="s">
        <v>274</v>
      </c>
      <c r="M23" s="78">
        <f>E23</f>
        <v>1</v>
      </c>
      <c r="N23" s="87"/>
    </row>
    <row r="24" spans="1:14" ht="12.75">
      <c r="A24" s="82"/>
      <c r="B24" s="47" t="s">
        <v>432</v>
      </c>
      <c r="C24" s="60" t="s">
        <v>305</v>
      </c>
      <c r="D24" s="47"/>
      <c r="E24" s="78">
        <f>1+1</f>
        <v>2</v>
      </c>
      <c r="F24" s="79"/>
      <c r="G24" s="78"/>
      <c r="H24" s="80"/>
      <c r="I24" s="78"/>
      <c r="J24" s="79"/>
      <c r="K24" s="78"/>
      <c r="L24" s="84" t="s">
        <v>274</v>
      </c>
      <c r="M24" s="78">
        <f>E24</f>
        <v>2</v>
      </c>
      <c r="N24" s="87"/>
    </row>
    <row r="25" spans="1:14" ht="12.75">
      <c r="A25" s="82"/>
      <c r="B25" s="47" t="s">
        <v>433</v>
      </c>
      <c r="C25" s="60" t="s">
        <v>17</v>
      </c>
      <c r="D25" s="47"/>
      <c r="E25" s="78">
        <f>1+1</f>
        <v>2</v>
      </c>
      <c r="F25" s="79" t="s">
        <v>291</v>
      </c>
      <c r="G25" s="78">
        <v>150</v>
      </c>
      <c r="H25" s="80"/>
      <c r="I25" s="78"/>
      <c r="J25" s="79"/>
      <c r="K25" s="78"/>
      <c r="L25" s="84" t="s">
        <v>274</v>
      </c>
      <c r="M25" s="78">
        <f>E25/G25</f>
        <v>0.013333333333333334</v>
      </c>
      <c r="N25" s="87"/>
    </row>
    <row r="26" spans="1:14" ht="12.75">
      <c r="A26" s="82"/>
      <c r="B26" s="47" t="s">
        <v>434</v>
      </c>
      <c r="C26" s="60" t="s">
        <v>18</v>
      </c>
      <c r="D26" s="47"/>
      <c r="E26" s="78">
        <f>1+1</f>
        <v>2</v>
      </c>
      <c r="F26" s="79" t="s">
        <v>291</v>
      </c>
      <c r="G26" s="78">
        <v>100</v>
      </c>
      <c r="H26" s="80"/>
      <c r="I26" s="78"/>
      <c r="J26" s="79"/>
      <c r="K26" s="78"/>
      <c r="L26" s="84" t="s">
        <v>274</v>
      </c>
      <c r="M26" s="78">
        <f>E26/G26</f>
        <v>0.02</v>
      </c>
      <c r="N26" s="87"/>
    </row>
    <row r="27" spans="1:14" ht="12.75">
      <c r="A27" s="82"/>
      <c r="B27" s="47" t="s">
        <v>435</v>
      </c>
      <c r="C27" s="73" t="s">
        <v>19</v>
      </c>
      <c r="D27" s="47"/>
      <c r="E27" s="78">
        <v>2</v>
      </c>
      <c r="F27" s="79" t="s">
        <v>291</v>
      </c>
      <c r="G27" s="78">
        <v>50</v>
      </c>
      <c r="H27" s="80"/>
      <c r="I27" s="78"/>
      <c r="J27" s="79"/>
      <c r="K27" s="78"/>
      <c r="L27" s="84" t="s">
        <v>274</v>
      </c>
      <c r="M27" s="78">
        <f>E27/G27</f>
        <v>0.04</v>
      </c>
      <c r="N27" s="87"/>
    </row>
    <row r="28" spans="1:14" ht="12.75">
      <c r="A28" s="82"/>
      <c r="B28" s="47" t="s">
        <v>436</v>
      </c>
      <c r="C28" s="73" t="s">
        <v>16</v>
      </c>
      <c r="D28" s="47"/>
      <c r="E28" s="78">
        <f>1</f>
        <v>1</v>
      </c>
      <c r="F28" s="79" t="s">
        <v>291</v>
      </c>
      <c r="G28" s="78">
        <v>5</v>
      </c>
      <c r="H28" s="80"/>
      <c r="I28" s="78"/>
      <c r="J28" s="79"/>
      <c r="K28" s="78"/>
      <c r="L28" s="84" t="s">
        <v>274</v>
      </c>
      <c r="M28" s="78">
        <f>E28/G28</f>
        <v>0.2</v>
      </c>
      <c r="N28" s="87"/>
    </row>
    <row r="29" spans="1:14" ht="12.75">
      <c r="A29" s="82"/>
      <c r="B29" s="47" t="s">
        <v>306</v>
      </c>
      <c r="C29" s="60" t="s">
        <v>307</v>
      </c>
      <c r="D29" s="47"/>
      <c r="E29" s="78">
        <v>10</v>
      </c>
      <c r="F29" s="79" t="s">
        <v>291</v>
      </c>
      <c r="G29" s="78">
        <v>70</v>
      </c>
      <c r="H29" s="80"/>
      <c r="I29" s="78"/>
      <c r="J29" s="79"/>
      <c r="K29" s="78"/>
      <c r="L29" s="84" t="s">
        <v>274</v>
      </c>
      <c r="M29" s="78">
        <f>E29/G29</f>
        <v>0.14285714285714285</v>
      </c>
      <c r="N29" s="87"/>
    </row>
    <row r="30" spans="1:14" ht="12.75">
      <c r="A30" s="82"/>
      <c r="B30" s="47"/>
      <c r="C30" s="60"/>
      <c r="D30" s="47"/>
      <c r="E30" s="47"/>
      <c r="F30" s="75"/>
      <c r="G30" s="75"/>
      <c r="H30" s="75"/>
      <c r="I30" s="75"/>
      <c r="J30" s="75"/>
      <c r="K30" s="75"/>
      <c r="L30" s="47"/>
      <c r="M30" s="75"/>
      <c r="N30" s="87"/>
    </row>
    <row r="31" spans="1:14" ht="12.75">
      <c r="A31" s="82"/>
      <c r="B31" s="81" t="s">
        <v>308</v>
      </c>
      <c r="C31" s="320" t="s">
        <v>20</v>
      </c>
      <c r="D31" s="321"/>
      <c r="E31" s="321"/>
      <c r="F31" s="321"/>
      <c r="G31" s="321"/>
      <c r="H31" s="321"/>
      <c r="I31" s="75"/>
      <c r="J31" s="75"/>
      <c r="K31" s="75"/>
      <c r="L31" s="47"/>
      <c r="M31" s="75"/>
      <c r="N31" s="87"/>
    </row>
    <row r="32" spans="1:14" ht="12.75">
      <c r="A32" s="82"/>
      <c r="B32" s="47" t="s">
        <v>309</v>
      </c>
      <c r="C32" s="60" t="s">
        <v>310</v>
      </c>
      <c r="D32" s="47"/>
      <c r="E32" s="54">
        <f>2.75*8+7.56*3+1.2</f>
        <v>45.88</v>
      </c>
      <c r="F32" s="75" t="s">
        <v>295</v>
      </c>
      <c r="G32" s="54">
        <v>0.45</v>
      </c>
      <c r="H32" s="62" t="s">
        <v>295</v>
      </c>
      <c r="I32" s="54">
        <v>0.3</v>
      </c>
      <c r="J32" s="75"/>
      <c r="K32" s="61"/>
      <c r="L32" s="47" t="s">
        <v>274</v>
      </c>
      <c r="M32" s="54">
        <f>E32*G32*I32</f>
        <v>6.1938</v>
      </c>
      <c r="N32" s="87"/>
    </row>
    <row r="33" spans="1:14" ht="12.75">
      <c r="A33" s="82"/>
      <c r="B33" s="47" t="s">
        <v>311</v>
      </c>
      <c r="C33" s="60" t="s">
        <v>312</v>
      </c>
      <c r="D33" s="47"/>
      <c r="E33" s="54">
        <f>(2.88*2.75)+(3.53*2.75)+(1.2*1.75)+(2.75*2.88)+(2.38*2.75)+(1.5*0.85+0.6*0.15+1.2*0.15)+(1.2*2.75)</f>
        <v>39.0375</v>
      </c>
      <c r="F33" s="75" t="s">
        <v>295</v>
      </c>
      <c r="G33" s="54">
        <v>0.15</v>
      </c>
      <c r="H33" s="62"/>
      <c r="I33" s="61"/>
      <c r="J33" s="75"/>
      <c r="K33" s="61"/>
      <c r="L33" s="47" t="s">
        <v>274</v>
      </c>
      <c r="M33" s="54">
        <f>E33*G33</f>
        <v>5.855625</v>
      </c>
      <c r="N33" s="87"/>
    </row>
    <row r="34" spans="1:14" ht="12.75">
      <c r="A34" s="82"/>
      <c r="B34" s="47"/>
      <c r="C34" s="60"/>
      <c r="D34" s="47"/>
      <c r="E34" s="47"/>
      <c r="F34" s="75"/>
      <c r="G34" s="75"/>
      <c r="H34" s="75"/>
      <c r="I34" s="75"/>
      <c r="J34" s="75"/>
      <c r="K34" s="75"/>
      <c r="L34" s="47"/>
      <c r="M34" s="75"/>
      <c r="N34" s="87"/>
    </row>
    <row r="35" spans="1:14" ht="12.75">
      <c r="A35" s="82"/>
      <c r="B35" s="81" t="s">
        <v>313</v>
      </c>
      <c r="C35" s="320" t="s">
        <v>314</v>
      </c>
      <c r="D35" s="321"/>
      <c r="E35" s="321"/>
      <c r="F35" s="321"/>
      <c r="G35" s="321"/>
      <c r="H35" s="321"/>
      <c r="I35" s="75"/>
      <c r="J35" s="75"/>
      <c r="K35" s="75"/>
      <c r="L35" s="47"/>
      <c r="M35" s="75"/>
      <c r="N35" s="87"/>
    </row>
    <row r="36" spans="1:14" ht="25.5">
      <c r="A36" s="82"/>
      <c r="B36" s="47" t="s">
        <v>315</v>
      </c>
      <c r="C36" s="60" t="s">
        <v>316</v>
      </c>
      <c r="D36" s="75"/>
      <c r="E36" s="54">
        <f>E32</f>
        <v>45.88</v>
      </c>
      <c r="F36" s="75" t="s">
        <v>295</v>
      </c>
      <c r="G36" s="54">
        <v>0.3</v>
      </c>
      <c r="H36" s="75"/>
      <c r="I36" s="61"/>
      <c r="J36" s="75"/>
      <c r="K36" s="61"/>
      <c r="L36" s="47" t="s">
        <v>274</v>
      </c>
      <c r="M36" s="54">
        <f>E36*G36</f>
        <v>13.764000000000001</v>
      </c>
      <c r="N36" s="87"/>
    </row>
    <row r="37" spans="1:14" ht="12.75">
      <c r="A37" s="82"/>
      <c r="B37" s="47" t="s">
        <v>317</v>
      </c>
      <c r="C37" s="60" t="s">
        <v>318</v>
      </c>
      <c r="D37" s="75"/>
      <c r="E37" s="54">
        <f>E32</f>
        <v>45.88</v>
      </c>
      <c r="F37" s="75" t="s">
        <v>295</v>
      </c>
      <c r="G37" s="54">
        <v>0.4</v>
      </c>
      <c r="H37" s="75" t="s">
        <v>295</v>
      </c>
      <c r="I37" s="54">
        <v>0.3</v>
      </c>
      <c r="J37" s="75"/>
      <c r="K37" s="61"/>
      <c r="L37" s="47" t="s">
        <v>274</v>
      </c>
      <c r="M37" s="54">
        <f>E37*G37*I37</f>
        <v>5.5056</v>
      </c>
      <c r="N37" s="87"/>
    </row>
    <row r="38" spans="1:14" ht="12.75">
      <c r="A38" s="82"/>
      <c r="B38" s="47" t="s">
        <v>319</v>
      </c>
      <c r="C38" s="60" t="s">
        <v>320</v>
      </c>
      <c r="D38" s="75"/>
      <c r="E38" s="54">
        <f>E32</f>
        <v>45.88</v>
      </c>
      <c r="F38" s="75" t="s">
        <v>295</v>
      </c>
      <c r="G38" s="54">
        <v>0.2</v>
      </c>
      <c r="H38" s="75"/>
      <c r="I38" s="61"/>
      <c r="J38" s="75"/>
      <c r="K38" s="61"/>
      <c r="L38" s="47" t="s">
        <v>274</v>
      </c>
      <c r="M38" s="54">
        <f>E38*G38</f>
        <v>9.176</v>
      </c>
      <c r="N38" s="87"/>
    </row>
    <row r="39" spans="1:14" ht="25.5">
      <c r="A39" s="82"/>
      <c r="B39" s="70" t="s">
        <v>321</v>
      </c>
      <c r="C39" s="60" t="s">
        <v>322</v>
      </c>
      <c r="D39" s="75"/>
      <c r="E39" s="54">
        <f>E32</f>
        <v>45.88</v>
      </c>
      <c r="F39" s="75" t="s">
        <v>295</v>
      </c>
      <c r="G39" s="54">
        <v>0.15</v>
      </c>
      <c r="H39" s="75"/>
      <c r="I39" s="61"/>
      <c r="J39" s="75"/>
      <c r="K39" s="61"/>
      <c r="L39" s="47" t="s">
        <v>274</v>
      </c>
      <c r="M39" s="54">
        <f>E39*G39</f>
        <v>6.882000000000001</v>
      </c>
      <c r="N39" s="87"/>
    </row>
    <row r="40" spans="1:14" ht="12.75">
      <c r="A40" s="82"/>
      <c r="B40" s="70"/>
      <c r="C40" s="60"/>
      <c r="D40" s="75"/>
      <c r="E40" s="75"/>
      <c r="F40" s="75"/>
      <c r="G40" s="75"/>
      <c r="H40" s="75"/>
      <c r="I40" s="75"/>
      <c r="J40" s="75"/>
      <c r="K40" s="75"/>
      <c r="L40" s="47"/>
      <c r="M40" s="75"/>
      <c r="N40" s="87"/>
    </row>
    <row r="41" spans="1:14" ht="12.75">
      <c r="A41" s="82"/>
      <c r="B41" s="81" t="s">
        <v>323</v>
      </c>
      <c r="C41" s="320" t="s">
        <v>324</v>
      </c>
      <c r="D41" s="321"/>
      <c r="E41" s="321"/>
      <c r="F41" s="321"/>
      <c r="G41" s="321"/>
      <c r="H41" s="321"/>
      <c r="I41" s="75"/>
      <c r="J41" s="75"/>
      <c r="K41" s="75"/>
      <c r="L41" s="47"/>
      <c r="M41" s="75"/>
      <c r="N41" s="87"/>
    </row>
    <row r="42" spans="1:14" ht="12.75">
      <c r="A42" s="82"/>
      <c r="B42" s="47" t="s">
        <v>325</v>
      </c>
      <c r="C42" s="60" t="s">
        <v>326</v>
      </c>
      <c r="D42" s="75"/>
      <c r="E42" s="61">
        <f>E32</f>
        <v>45.88</v>
      </c>
      <c r="F42" s="75" t="s">
        <v>295</v>
      </c>
      <c r="G42" s="61">
        <v>4</v>
      </c>
      <c r="H42" s="75" t="s">
        <v>295</v>
      </c>
      <c r="I42" s="61">
        <v>0.25</v>
      </c>
      <c r="J42" s="75"/>
      <c r="K42" s="61"/>
      <c r="L42" s="47" t="s">
        <v>274</v>
      </c>
      <c r="M42" s="61">
        <f>E42*G42*I42</f>
        <v>45.88</v>
      </c>
      <c r="N42" s="87"/>
    </row>
    <row r="43" spans="1:14" ht="12.75">
      <c r="A43" s="82"/>
      <c r="B43" s="47" t="s">
        <v>327</v>
      </c>
      <c r="C43" s="60" t="s">
        <v>328</v>
      </c>
      <c r="D43" s="75"/>
      <c r="E43" s="46">
        <f>(0.6+0.6)*2*1+(1.5+0.6)*2*4+(0.8+0.6)*1*5</f>
        <v>26.2</v>
      </c>
      <c r="F43" s="75"/>
      <c r="G43" s="61"/>
      <c r="H43" s="75"/>
      <c r="I43" s="61"/>
      <c r="J43" s="75"/>
      <c r="K43" s="61"/>
      <c r="L43" s="47" t="s">
        <v>274</v>
      </c>
      <c r="M43" s="61">
        <f>E43</f>
        <v>26.2</v>
      </c>
      <c r="N43" s="87"/>
    </row>
    <row r="44" spans="1:14" ht="12.75">
      <c r="A44" s="82"/>
      <c r="B44" s="47" t="s">
        <v>329</v>
      </c>
      <c r="C44" s="60" t="s">
        <v>330</v>
      </c>
      <c r="D44" s="75"/>
      <c r="E44" s="61">
        <v>1.5</v>
      </c>
      <c r="F44" s="75" t="s">
        <v>295</v>
      </c>
      <c r="G44" s="61">
        <v>2.05</v>
      </c>
      <c r="H44" s="75"/>
      <c r="I44" s="61"/>
      <c r="J44" s="75"/>
      <c r="K44" s="61"/>
      <c r="L44" s="47" t="s">
        <v>274</v>
      </c>
      <c r="M44" s="61">
        <f>E44*G44</f>
        <v>3.0749999999999997</v>
      </c>
      <c r="N44" s="87"/>
    </row>
    <row r="45" spans="1:14" ht="25.5">
      <c r="A45" s="82"/>
      <c r="B45" s="70" t="s">
        <v>422</v>
      </c>
      <c r="C45" s="56" t="s">
        <v>426</v>
      </c>
      <c r="D45" s="52"/>
      <c r="E45" s="53">
        <f>E32</f>
        <v>45.88</v>
      </c>
      <c r="F45" s="47" t="s">
        <v>295</v>
      </c>
      <c r="G45" s="46">
        <v>0.15</v>
      </c>
      <c r="H45" s="72"/>
      <c r="I45" s="46"/>
      <c r="J45" s="47"/>
      <c r="K45" s="46"/>
      <c r="L45" s="72" t="s">
        <v>274</v>
      </c>
      <c r="M45" s="48">
        <f>E45*G45</f>
        <v>6.882000000000001</v>
      </c>
      <c r="N45" s="87"/>
    </row>
    <row r="46" spans="1:14" ht="12.75">
      <c r="A46" s="82"/>
      <c r="B46" s="47"/>
      <c r="C46" s="73"/>
      <c r="D46" s="52"/>
      <c r="E46" s="69"/>
      <c r="F46" s="47"/>
      <c r="G46" s="72"/>
      <c r="H46" s="72"/>
      <c r="I46" s="72"/>
      <c r="J46" s="47"/>
      <c r="K46" s="72"/>
      <c r="L46" s="72"/>
      <c r="M46" s="72"/>
      <c r="N46" s="87"/>
    </row>
    <row r="47" spans="1:14" ht="12.75">
      <c r="A47" s="82"/>
      <c r="B47" s="81" t="s">
        <v>331</v>
      </c>
      <c r="C47" s="63" t="s">
        <v>332</v>
      </c>
      <c r="D47" s="75"/>
      <c r="E47" s="75"/>
      <c r="F47" s="75"/>
      <c r="G47" s="75"/>
      <c r="H47" s="75"/>
      <c r="I47" s="75"/>
      <c r="J47" s="75"/>
      <c r="K47" s="75"/>
      <c r="L47" s="47"/>
      <c r="M47" s="75"/>
      <c r="N47" s="87"/>
    </row>
    <row r="48" spans="1:14" ht="25.5">
      <c r="A48" s="82"/>
      <c r="B48" s="47" t="s">
        <v>333</v>
      </c>
      <c r="C48" s="60" t="s">
        <v>334</v>
      </c>
      <c r="D48" s="75"/>
      <c r="E48" s="61">
        <f>(5.95*0.76)/2+(5.95*2.65)+(2.75*0.76)/2+(2.75*2.65)+(2.75*0.76)/2+(2.75*2.65)+(1.75*2.4)*2+(1.5*2.4)+((0.15+2.88+0.15+1.2+0.15+2.88)*2.65)+((0.15+2.88+0.15+1.2+0.15+2.88)*3.41)+((0.15+2.38+0.15+3.53)*2.65)+(2*1.5)+(1*1.5)+(1.05*1.5)</f>
        <v>114.12960000000002</v>
      </c>
      <c r="F48" s="75"/>
      <c r="G48" s="61"/>
      <c r="H48" s="47"/>
      <c r="I48" s="61"/>
      <c r="J48" s="47"/>
      <c r="K48" s="61"/>
      <c r="L48" s="47" t="s">
        <v>274</v>
      </c>
      <c r="M48" s="61">
        <f>E48</f>
        <v>114.12960000000002</v>
      </c>
      <c r="N48" s="87"/>
    </row>
    <row r="49" spans="1:14" ht="12.75">
      <c r="A49" s="82"/>
      <c r="B49" s="47"/>
      <c r="C49" s="60"/>
      <c r="D49" s="75"/>
      <c r="E49" s="75"/>
      <c r="F49" s="75"/>
      <c r="G49" s="75"/>
      <c r="H49" s="75"/>
      <c r="I49" s="75"/>
      <c r="J49" s="75"/>
      <c r="K49" s="75"/>
      <c r="L49" s="47"/>
      <c r="M49" s="75"/>
      <c r="N49" s="87"/>
    </row>
    <row r="50" spans="1:14" ht="12.75">
      <c r="A50" s="82"/>
      <c r="B50" s="81" t="s">
        <v>335</v>
      </c>
      <c r="C50" s="320" t="s">
        <v>32</v>
      </c>
      <c r="D50" s="321"/>
      <c r="E50" s="321"/>
      <c r="F50" s="321"/>
      <c r="G50" s="321"/>
      <c r="H50" s="321"/>
      <c r="I50" s="75"/>
      <c r="J50" s="75"/>
      <c r="K50" s="75"/>
      <c r="L50" s="47"/>
      <c r="M50" s="75"/>
      <c r="N50" s="87"/>
    </row>
    <row r="51" spans="1:14" ht="12.75">
      <c r="A51" s="82"/>
      <c r="B51" s="47" t="s">
        <v>336</v>
      </c>
      <c r="C51" s="60" t="s">
        <v>337</v>
      </c>
      <c r="D51" s="75"/>
      <c r="E51" s="61">
        <v>3.51</v>
      </c>
      <c r="F51" s="75" t="s">
        <v>295</v>
      </c>
      <c r="G51" s="61">
        <f>7.56+0.9</f>
        <v>8.459999999999999</v>
      </c>
      <c r="H51" s="47" t="s">
        <v>295</v>
      </c>
      <c r="I51" s="61">
        <v>2</v>
      </c>
      <c r="J51" s="75"/>
      <c r="K51" s="61"/>
      <c r="L51" s="47" t="s">
        <v>274</v>
      </c>
      <c r="M51" s="61">
        <f>E51*G51*I51</f>
        <v>59.38919999999999</v>
      </c>
      <c r="N51" s="87"/>
    </row>
    <row r="52" spans="1:14" ht="12.75">
      <c r="A52" s="82"/>
      <c r="B52" s="47" t="s">
        <v>338</v>
      </c>
      <c r="C52" s="60" t="s">
        <v>339</v>
      </c>
      <c r="D52" s="75"/>
      <c r="E52" s="61">
        <f>M51</f>
        <v>59.38919999999999</v>
      </c>
      <c r="F52" s="75"/>
      <c r="G52" s="61"/>
      <c r="H52" s="75"/>
      <c r="I52" s="61"/>
      <c r="J52" s="75"/>
      <c r="K52" s="61"/>
      <c r="L52" s="47" t="s">
        <v>274</v>
      </c>
      <c r="M52" s="61">
        <f>E52</f>
        <v>59.38919999999999</v>
      </c>
      <c r="N52" s="87"/>
    </row>
    <row r="53" spans="1:14" ht="12.75">
      <c r="A53" s="82"/>
      <c r="B53" s="47"/>
      <c r="C53" s="60"/>
      <c r="D53" s="75"/>
      <c r="E53" s="75"/>
      <c r="F53" s="75"/>
      <c r="G53" s="75"/>
      <c r="H53" s="75"/>
      <c r="I53" s="75"/>
      <c r="J53" s="75"/>
      <c r="K53" s="75"/>
      <c r="L53" s="47"/>
      <c r="M53" s="75"/>
      <c r="N53" s="87"/>
    </row>
    <row r="54" spans="1:14" ht="12.75">
      <c r="A54" s="82"/>
      <c r="B54" s="81" t="s">
        <v>340</v>
      </c>
      <c r="C54" s="320" t="s">
        <v>341</v>
      </c>
      <c r="D54" s="321"/>
      <c r="E54" s="321"/>
      <c r="F54" s="321"/>
      <c r="G54" s="321"/>
      <c r="H54" s="321"/>
      <c r="I54" s="75"/>
      <c r="J54" s="75"/>
      <c r="K54" s="75"/>
      <c r="L54" s="47"/>
      <c r="M54" s="75"/>
      <c r="N54" s="87"/>
    </row>
    <row r="55" spans="1:14" ht="12.75">
      <c r="A55" s="82"/>
      <c r="B55" s="47" t="s">
        <v>342</v>
      </c>
      <c r="C55" s="60" t="s">
        <v>343</v>
      </c>
      <c r="D55" s="75"/>
      <c r="E55" s="61">
        <v>1</v>
      </c>
      <c r="F55" s="75"/>
      <c r="G55" s="61"/>
      <c r="H55" s="75"/>
      <c r="I55" s="61"/>
      <c r="J55" s="75"/>
      <c r="K55" s="61"/>
      <c r="L55" s="47" t="s">
        <v>274</v>
      </c>
      <c r="M55" s="61">
        <f>E55</f>
        <v>1</v>
      </c>
      <c r="N55" s="87"/>
    </row>
    <row r="56" spans="1:14" ht="12.75">
      <c r="A56" s="82"/>
      <c r="B56" s="47" t="s">
        <v>344</v>
      </c>
      <c r="C56" s="60" t="s">
        <v>345</v>
      </c>
      <c r="D56" s="75"/>
      <c r="E56" s="61">
        <f>2.88+2.75+3.53+2.75+2.88+1.2+2.75+2.88+1.5+1.5</f>
        <v>24.619999999999997</v>
      </c>
      <c r="F56" s="47" t="s">
        <v>302</v>
      </c>
      <c r="G56" s="61">
        <f>14*0.5</f>
        <v>7</v>
      </c>
      <c r="H56" s="47" t="s">
        <v>302</v>
      </c>
      <c r="I56" s="61">
        <v>30</v>
      </c>
      <c r="J56" s="47" t="s">
        <v>295</v>
      </c>
      <c r="K56" s="61">
        <v>2</v>
      </c>
      <c r="L56" s="47" t="s">
        <v>274</v>
      </c>
      <c r="M56" s="61">
        <f>(E56+G56+I56)*K56</f>
        <v>123.24</v>
      </c>
      <c r="N56" s="87"/>
    </row>
    <row r="57" spans="1:14" ht="12.75">
      <c r="A57" s="82"/>
      <c r="B57" s="47" t="s">
        <v>346</v>
      </c>
      <c r="C57" s="60" t="s">
        <v>347</v>
      </c>
      <c r="D57" s="75"/>
      <c r="E57" s="61">
        <v>6</v>
      </c>
      <c r="F57" s="75" t="s">
        <v>295</v>
      </c>
      <c r="G57" s="61">
        <v>2</v>
      </c>
      <c r="H57" s="75"/>
      <c r="I57" s="61"/>
      <c r="J57" s="75"/>
      <c r="K57" s="61"/>
      <c r="L57" s="47" t="s">
        <v>274</v>
      </c>
      <c r="M57" s="61">
        <f>E57*G57</f>
        <v>12</v>
      </c>
      <c r="N57" s="87"/>
    </row>
    <row r="58" spans="1:14" ht="12.75">
      <c r="A58" s="82"/>
      <c r="B58" s="47" t="s">
        <v>348</v>
      </c>
      <c r="C58" s="60" t="s">
        <v>349</v>
      </c>
      <c r="D58" s="75"/>
      <c r="E58" s="61">
        <v>2</v>
      </c>
      <c r="F58" s="75"/>
      <c r="G58" s="61"/>
      <c r="H58" s="75"/>
      <c r="I58" s="61"/>
      <c r="J58" s="75"/>
      <c r="K58" s="61"/>
      <c r="L58" s="47" t="s">
        <v>274</v>
      </c>
      <c r="M58" s="61">
        <f aca="true" t="shared" si="0" ref="M58:M66">E58</f>
        <v>2</v>
      </c>
      <c r="N58" s="87"/>
    </row>
    <row r="59" spans="1:14" ht="12.75">
      <c r="A59" s="82"/>
      <c r="B59" s="47" t="s">
        <v>350</v>
      </c>
      <c r="C59" s="60" t="s">
        <v>351</v>
      </c>
      <c r="D59" s="75"/>
      <c r="E59" s="61">
        <v>1</v>
      </c>
      <c r="F59" s="75"/>
      <c r="G59" s="61"/>
      <c r="H59" s="75"/>
      <c r="I59" s="61"/>
      <c r="J59" s="75"/>
      <c r="K59" s="61"/>
      <c r="L59" s="47" t="s">
        <v>274</v>
      </c>
      <c r="M59" s="61">
        <f t="shared" si="0"/>
        <v>1</v>
      </c>
      <c r="N59" s="87"/>
    </row>
    <row r="60" spans="1:14" ht="12.75">
      <c r="A60" s="82"/>
      <c r="B60" s="47" t="s">
        <v>352</v>
      </c>
      <c r="C60" s="60" t="s">
        <v>353</v>
      </c>
      <c r="D60" s="75"/>
      <c r="E60" s="61">
        <f>E56+G56</f>
        <v>31.619999999999997</v>
      </c>
      <c r="F60" s="75"/>
      <c r="G60" s="61"/>
      <c r="H60" s="75"/>
      <c r="I60" s="61"/>
      <c r="J60" s="75"/>
      <c r="K60" s="61"/>
      <c r="L60" s="47" t="s">
        <v>274</v>
      </c>
      <c r="M60" s="61">
        <f t="shared" si="0"/>
        <v>31.619999999999997</v>
      </c>
      <c r="N60" s="87"/>
    </row>
    <row r="61" spans="1:14" ht="12.75">
      <c r="A61" s="82"/>
      <c r="B61" s="47" t="s">
        <v>354</v>
      </c>
      <c r="C61" s="60" t="s">
        <v>355</v>
      </c>
      <c r="D61" s="75"/>
      <c r="E61" s="61">
        <v>14</v>
      </c>
      <c r="F61" s="75"/>
      <c r="G61" s="61"/>
      <c r="H61" s="75"/>
      <c r="I61" s="61"/>
      <c r="J61" s="75"/>
      <c r="K61" s="61"/>
      <c r="L61" s="47" t="s">
        <v>274</v>
      </c>
      <c r="M61" s="61">
        <f t="shared" si="0"/>
        <v>14</v>
      </c>
      <c r="N61" s="87"/>
    </row>
    <row r="62" spans="1:14" ht="12.75">
      <c r="A62" s="82"/>
      <c r="B62" s="47" t="s">
        <v>356</v>
      </c>
      <c r="C62" s="60" t="s">
        <v>357</v>
      </c>
      <c r="D62" s="75"/>
      <c r="E62" s="61">
        <f>I56</f>
        <v>30</v>
      </c>
      <c r="F62" s="75"/>
      <c r="G62" s="61"/>
      <c r="H62" s="75"/>
      <c r="I62" s="61"/>
      <c r="J62" s="75"/>
      <c r="K62" s="61"/>
      <c r="L62" s="47" t="s">
        <v>274</v>
      </c>
      <c r="M62" s="61">
        <f t="shared" si="0"/>
        <v>30</v>
      </c>
      <c r="N62" s="87"/>
    </row>
    <row r="63" spans="1:14" ht="12.75">
      <c r="A63" s="82"/>
      <c r="B63" s="47" t="s">
        <v>358</v>
      </c>
      <c r="C63" s="60" t="s">
        <v>359</v>
      </c>
      <c r="D63" s="75"/>
      <c r="E63" s="61">
        <v>6</v>
      </c>
      <c r="F63" s="75"/>
      <c r="G63" s="61"/>
      <c r="H63" s="75"/>
      <c r="I63" s="61"/>
      <c r="J63" s="75"/>
      <c r="K63" s="61"/>
      <c r="L63" s="47" t="s">
        <v>274</v>
      </c>
      <c r="M63" s="61">
        <f t="shared" si="0"/>
        <v>6</v>
      </c>
      <c r="N63" s="87"/>
    </row>
    <row r="64" spans="1:14" ht="25.5">
      <c r="A64" s="82"/>
      <c r="B64" s="47" t="s">
        <v>360</v>
      </c>
      <c r="C64" s="60" t="s">
        <v>361</v>
      </c>
      <c r="D64" s="75"/>
      <c r="E64" s="61">
        <v>1</v>
      </c>
      <c r="F64" s="75"/>
      <c r="G64" s="61"/>
      <c r="H64" s="75"/>
      <c r="I64" s="61"/>
      <c r="J64" s="75"/>
      <c r="K64" s="61"/>
      <c r="L64" s="47" t="s">
        <v>274</v>
      </c>
      <c r="M64" s="61">
        <f t="shared" si="0"/>
        <v>1</v>
      </c>
      <c r="N64" s="87"/>
    </row>
    <row r="65" spans="1:14" ht="12.75">
      <c r="A65" s="82"/>
      <c r="B65" s="47" t="s">
        <v>362</v>
      </c>
      <c r="C65" s="60" t="s">
        <v>363</v>
      </c>
      <c r="D65" s="75"/>
      <c r="E65" s="61">
        <f>E61+E66</f>
        <v>20</v>
      </c>
      <c r="F65" s="75"/>
      <c r="G65" s="61"/>
      <c r="H65" s="75"/>
      <c r="I65" s="61"/>
      <c r="J65" s="75"/>
      <c r="K65" s="61"/>
      <c r="L65" s="47" t="s">
        <v>274</v>
      </c>
      <c r="M65" s="61">
        <f t="shared" si="0"/>
        <v>20</v>
      </c>
      <c r="N65" s="87"/>
    </row>
    <row r="66" spans="1:14" ht="12.75">
      <c r="A66" s="82"/>
      <c r="B66" s="47" t="s">
        <v>364</v>
      </c>
      <c r="C66" s="60" t="s">
        <v>365</v>
      </c>
      <c r="D66" s="75"/>
      <c r="E66" s="61">
        <v>6</v>
      </c>
      <c r="F66" s="75"/>
      <c r="G66" s="61"/>
      <c r="H66" s="75"/>
      <c r="I66" s="61"/>
      <c r="J66" s="75"/>
      <c r="K66" s="61"/>
      <c r="L66" s="47" t="s">
        <v>274</v>
      </c>
      <c r="M66" s="61">
        <f t="shared" si="0"/>
        <v>6</v>
      </c>
      <c r="N66" s="87"/>
    </row>
    <row r="67" spans="1:14" ht="12.75">
      <c r="A67" s="82"/>
      <c r="B67" s="47"/>
      <c r="C67" s="60"/>
      <c r="D67" s="75"/>
      <c r="E67" s="75"/>
      <c r="F67" s="75"/>
      <c r="G67" s="75"/>
      <c r="H67" s="75"/>
      <c r="I67" s="75"/>
      <c r="J67" s="75"/>
      <c r="K67" s="75"/>
      <c r="L67" s="47"/>
      <c r="M67" s="75"/>
      <c r="N67" s="87"/>
    </row>
    <row r="68" spans="1:14" ht="12.75">
      <c r="A68" s="82"/>
      <c r="B68" s="81" t="s">
        <v>181</v>
      </c>
      <c r="C68" s="320" t="s">
        <v>366</v>
      </c>
      <c r="D68" s="321"/>
      <c r="E68" s="321"/>
      <c r="F68" s="321"/>
      <c r="G68" s="321"/>
      <c r="H68" s="321"/>
      <c r="I68" s="75"/>
      <c r="J68" s="75"/>
      <c r="K68" s="75"/>
      <c r="L68" s="47"/>
      <c r="M68" s="75"/>
      <c r="N68" s="87"/>
    </row>
    <row r="69" spans="1:14" ht="12.75">
      <c r="A69" s="82"/>
      <c r="B69" s="47" t="s">
        <v>41</v>
      </c>
      <c r="C69" s="60" t="s">
        <v>367</v>
      </c>
      <c r="D69" s="75"/>
      <c r="E69" s="61">
        <f>4+4+1.5+1.75+3.5+2.5+4+2</f>
        <v>23.25</v>
      </c>
      <c r="F69" s="75"/>
      <c r="G69" s="61"/>
      <c r="H69" s="75"/>
      <c r="I69" s="61"/>
      <c r="J69" s="75"/>
      <c r="K69" s="61"/>
      <c r="L69" s="47" t="s">
        <v>274</v>
      </c>
      <c r="M69" s="61">
        <f>E69</f>
        <v>23.25</v>
      </c>
      <c r="N69" s="87"/>
    </row>
    <row r="70" spans="1:14" ht="12.75">
      <c r="A70" s="82"/>
      <c r="B70" s="47" t="s">
        <v>42</v>
      </c>
      <c r="C70" s="60" t="s">
        <v>368</v>
      </c>
      <c r="D70" s="75"/>
      <c r="E70" s="64">
        <v>2.5</v>
      </c>
      <c r="F70" s="75"/>
      <c r="G70" s="64"/>
      <c r="H70" s="75"/>
      <c r="I70" s="64"/>
      <c r="J70" s="75"/>
      <c r="K70" s="64"/>
      <c r="L70" s="47" t="s">
        <v>274</v>
      </c>
      <c r="M70" s="64">
        <f>E70</f>
        <v>2.5</v>
      </c>
      <c r="N70" s="87"/>
    </row>
    <row r="71" spans="1:14" ht="12.75">
      <c r="A71" s="82"/>
      <c r="B71" s="47" t="s">
        <v>43</v>
      </c>
      <c r="C71" s="60" t="s">
        <v>369</v>
      </c>
      <c r="D71" s="75"/>
      <c r="E71" s="61">
        <f>1.8+2.5+3.61</f>
        <v>7.91</v>
      </c>
      <c r="F71" s="75"/>
      <c r="G71" s="61"/>
      <c r="H71" s="75"/>
      <c r="I71" s="61"/>
      <c r="J71" s="75"/>
      <c r="K71" s="61"/>
      <c r="L71" s="47" t="s">
        <v>274</v>
      </c>
      <c r="M71" s="61">
        <f>67</f>
        <v>67</v>
      </c>
      <c r="N71" s="87"/>
    </row>
    <row r="72" spans="1:14" ht="12.75">
      <c r="A72" s="82"/>
      <c r="B72" s="47" t="s">
        <v>44</v>
      </c>
      <c r="C72" s="60" t="s">
        <v>370</v>
      </c>
      <c r="D72" s="75"/>
      <c r="E72" s="61">
        <f>8.29+1.5+2.2+3</f>
        <v>14.989999999999998</v>
      </c>
      <c r="F72" s="75"/>
      <c r="G72" s="61"/>
      <c r="H72" s="75"/>
      <c r="I72" s="61"/>
      <c r="J72" s="75"/>
      <c r="K72" s="61"/>
      <c r="L72" s="47" t="s">
        <v>274</v>
      </c>
      <c r="M72" s="61">
        <f aca="true" t="shared" si="1" ref="M72:M81">E72</f>
        <v>14.989999999999998</v>
      </c>
      <c r="N72" s="87"/>
    </row>
    <row r="73" spans="1:14" ht="12.75">
      <c r="A73" s="82"/>
      <c r="B73" s="47" t="s">
        <v>45</v>
      </c>
      <c r="C73" s="60" t="s">
        <v>371</v>
      </c>
      <c r="D73" s="75"/>
      <c r="E73" s="61">
        <v>1</v>
      </c>
      <c r="F73" s="75"/>
      <c r="G73" s="61"/>
      <c r="H73" s="75"/>
      <c r="I73" s="61"/>
      <c r="J73" s="75"/>
      <c r="K73" s="61"/>
      <c r="L73" s="47" t="s">
        <v>274</v>
      </c>
      <c r="M73" s="61">
        <f t="shared" si="1"/>
        <v>1</v>
      </c>
      <c r="N73" s="87"/>
    </row>
    <row r="74" spans="1:14" ht="12.75">
      <c r="A74" s="82"/>
      <c r="B74" s="47" t="s">
        <v>46</v>
      </c>
      <c r="C74" s="60" t="s">
        <v>372</v>
      </c>
      <c r="D74" s="75"/>
      <c r="E74" s="61">
        <v>1</v>
      </c>
      <c r="F74" s="61"/>
      <c r="G74" s="61"/>
      <c r="H74" s="75"/>
      <c r="I74" s="61"/>
      <c r="J74" s="61"/>
      <c r="K74" s="61"/>
      <c r="L74" s="47" t="s">
        <v>274</v>
      </c>
      <c r="M74" s="61">
        <f t="shared" si="1"/>
        <v>1</v>
      </c>
      <c r="N74" s="87"/>
    </row>
    <row r="75" spans="1:14" ht="12.75">
      <c r="A75" s="82"/>
      <c r="B75" s="47" t="s">
        <v>78</v>
      </c>
      <c r="C75" s="60" t="s">
        <v>373</v>
      </c>
      <c r="D75" s="75"/>
      <c r="E75" s="61">
        <v>1</v>
      </c>
      <c r="F75" s="61"/>
      <c r="G75" s="61"/>
      <c r="H75" s="75"/>
      <c r="I75" s="61"/>
      <c r="J75" s="75"/>
      <c r="K75" s="61"/>
      <c r="L75" s="47" t="s">
        <v>274</v>
      </c>
      <c r="M75" s="61">
        <f t="shared" si="1"/>
        <v>1</v>
      </c>
      <c r="N75" s="87"/>
    </row>
    <row r="76" spans="1:14" ht="12.75">
      <c r="A76" s="82"/>
      <c r="B76" s="47" t="s">
        <v>80</v>
      </c>
      <c r="C76" s="60" t="s">
        <v>374</v>
      </c>
      <c r="D76" s="75"/>
      <c r="E76" s="61">
        <v>1</v>
      </c>
      <c r="F76" s="75"/>
      <c r="G76" s="61"/>
      <c r="H76" s="75"/>
      <c r="I76" s="61"/>
      <c r="J76" s="75"/>
      <c r="K76" s="61"/>
      <c r="L76" s="47" t="s">
        <v>274</v>
      </c>
      <c r="M76" s="61">
        <f t="shared" si="1"/>
        <v>1</v>
      </c>
      <c r="N76" s="87"/>
    </row>
    <row r="77" spans="1:14" ht="12.75">
      <c r="A77" s="82"/>
      <c r="B77" s="47" t="s">
        <v>82</v>
      </c>
      <c r="C77" s="60" t="s">
        <v>375</v>
      </c>
      <c r="D77" s="75"/>
      <c r="E77" s="61">
        <v>1</v>
      </c>
      <c r="F77" s="75"/>
      <c r="G77" s="61"/>
      <c r="H77" s="61"/>
      <c r="I77" s="61"/>
      <c r="J77" s="75"/>
      <c r="K77" s="61"/>
      <c r="L77" s="47" t="s">
        <v>274</v>
      </c>
      <c r="M77" s="61">
        <f t="shared" si="1"/>
        <v>1</v>
      </c>
      <c r="N77" s="87"/>
    </row>
    <row r="78" spans="1:14" ht="38.25">
      <c r="A78" s="82"/>
      <c r="B78" s="47" t="s">
        <v>129</v>
      </c>
      <c r="C78" s="60" t="s">
        <v>376</v>
      </c>
      <c r="D78" s="75"/>
      <c r="E78" s="61">
        <v>1</v>
      </c>
      <c r="F78" s="75"/>
      <c r="G78" s="61"/>
      <c r="H78" s="75"/>
      <c r="I78" s="61"/>
      <c r="J78" s="75"/>
      <c r="K78" s="61"/>
      <c r="L78" s="47" t="s">
        <v>274</v>
      </c>
      <c r="M78" s="61">
        <f t="shared" si="1"/>
        <v>1</v>
      </c>
      <c r="N78" s="87"/>
    </row>
    <row r="79" spans="1:14" ht="38.25">
      <c r="A79" s="82"/>
      <c r="B79" s="47" t="s">
        <v>130</v>
      </c>
      <c r="C79" s="175" t="s">
        <v>521</v>
      </c>
      <c r="D79" s="77"/>
      <c r="E79" s="46">
        <v>1</v>
      </c>
      <c r="F79" s="47"/>
      <c r="G79" s="46"/>
      <c r="H79" s="77"/>
      <c r="I79" s="46"/>
      <c r="J79" s="47"/>
      <c r="K79" s="46"/>
      <c r="L79" s="77" t="s">
        <v>274</v>
      </c>
      <c r="M79" s="46">
        <f>E79</f>
        <v>1</v>
      </c>
      <c r="N79" s="87"/>
    </row>
    <row r="80" spans="1:14" ht="25.5">
      <c r="A80" s="82"/>
      <c r="B80" s="47" t="s">
        <v>131</v>
      </c>
      <c r="C80" s="60" t="s">
        <v>377</v>
      </c>
      <c r="D80" s="75"/>
      <c r="E80" s="61">
        <v>1</v>
      </c>
      <c r="F80" s="75"/>
      <c r="G80" s="61"/>
      <c r="H80" s="75"/>
      <c r="I80" s="61"/>
      <c r="J80" s="75"/>
      <c r="K80" s="61"/>
      <c r="L80" s="47" t="s">
        <v>274</v>
      </c>
      <c r="M80" s="61">
        <f t="shared" si="1"/>
        <v>1</v>
      </c>
      <c r="N80" s="87"/>
    </row>
    <row r="81" spans="1:14" ht="25.5">
      <c r="A81" s="82"/>
      <c r="B81" s="47" t="s">
        <v>132</v>
      </c>
      <c r="C81" s="60" t="s">
        <v>378</v>
      </c>
      <c r="D81" s="75"/>
      <c r="E81" s="61">
        <v>1</v>
      </c>
      <c r="F81" s="75"/>
      <c r="G81" s="61"/>
      <c r="H81" s="75"/>
      <c r="I81" s="61"/>
      <c r="J81" s="75"/>
      <c r="K81" s="61"/>
      <c r="L81" s="47" t="s">
        <v>274</v>
      </c>
      <c r="M81" s="61">
        <f t="shared" si="1"/>
        <v>1</v>
      </c>
      <c r="N81" s="87"/>
    </row>
    <row r="82" spans="1:14" ht="15.75" customHeight="1">
      <c r="A82" s="82"/>
      <c r="B82" s="47" t="s">
        <v>424</v>
      </c>
      <c r="C82" s="73" t="s">
        <v>423</v>
      </c>
      <c r="D82" s="72"/>
      <c r="E82" s="46">
        <v>2.41</v>
      </c>
      <c r="F82" s="47" t="s">
        <v>295</v>
      </c>
      <c r="G82" s="46">
        <v>1.41</v>
      </c>
      <c r="H82" s="72"/>
      <c r="I82" s="46"/>
      <c r="J82" s="47"/>
      <c r="K82" s="46"/>
      <c r="L82" s="72" t="s">
        <v>274</v>
      </c>
      <c r="M82" s="48">
        <f>E82*G82</f>
        <v>3.3981</v>
      </c>
      <c r="N82" s="87"/>
    </row>
    <row r="83" spans="1:14" ht="12.75">
      <c r="A83" s="82"/>
      <c r="B83" s="47"/>
      <c r="C83" s="73"/>
      <c r="D83" s="72"/>
      <c r="E83" s="51"/>
      <c r="F83" s="50"/>
      <c r="G83" s="51"/>
      <c r="H83" s="72"/>
      <c r="I83" s="72"/>
      <c r="J83" s="47"/>
      <c r="K83" s="72"/>
      <c r="L83" s="72"/>
      <c r="M83" s="72"/>
      <c r="N83" s="87"/>
    </row>
    <row r="84" spans="1:14" ht="12.75">
      <c r="A84" s="82"/>
      <c r="B84" s="81" t="s">
        <v>183</v>
      </c>
      <c r="C84" s="320" t="s">
        <v>379</v>
      </c>
      <c r="D84" s="321"/>
      <c r="E84" s="321"/>
      <c r="F84" s="321"/>
      <c r="G84" s="321"/>
      <c r="H84" s="321"/>
      <c r="I84" s="75"/>
      <c r="J84" s="75"/>
      <c r="K84" s="75"/>
      <c r="L84" s="47"/>
      <c r="M84" s="75"/>
      <c r="N84" s="87"/>
    </row>
    <row r="85" spans="1:14" ht="12.75">
      <c r="A85" s="82"/>
      <c r="B85" s="47" t="s">
        <v>47</v>
      </c>
      <c r="C85" s="60" t="s">
        <v>380</v>
      </c>
      <c r="D85" s="75"/>
      <c r="E85" s="61">
        <v>1</v>
      </c>
      <c r="F85" s="75"/>
      <c r="G85" s="61"/>
      <c r="H85" s="75"/>
      <c r="I85" s="61"/>
      <c r="J85" s="75"/>
      <c r="K85" s="61"/>
      <c r="L85" s="47" t="s">
        <v>274</v>
      </c>
      <c r="M85" s="61">
        <f>E85</f>
        <v>1</v>
      </c>
      <c r="N85" s="87"/>
    </row>
    <row r="86" spans="1:14" ht="25.5">
      <c r="A86" s="82"/>
      <c r="B86" s="47" t="s">
        <v>49</v>
      </c>
      <c r="C86" s="60" t="s">
        <v>381</v>
      </c>
      <c r="D86" s="75"/>
      <c r="E86" s="61">
        <v>1</v>
      </c>
      <c r="F86" s="75"/>
      <c r="G86" s="61"/>
      <c r="H86" s="65"/>
      <c r="I86" s="61"/>
      <c r="J86" s="75"/>
      <c r="K86" s="61"/>
      <c r="L86" s="47" t="s">
        <v>274</v>
      </c>
      <c r="M86" s="61">
        <f>E86</f>
        <v>1</v>
      </c>
      <c r="N86" s="87"/>
    </row>
    <row r="87" spans="1:14" ht="25.5">
      <c r="A87" s="82"/>
      <c r="B87" s="47" t="s">
        <v>382</v>
      </c>
      <c r="C87" s="60" t="s">
        <v>383</v>
      </c>
      <c r="D87" s="75"/>
      <c r="E87" s="61">
        <v>1</v>
      </c>
      <c r="F87" s="75"/>
      <c r="G87" s="61"/>
      <c r="H87" s="75"/>
      <c r="I87" s="61"/>
      <c r="J87" s="75"/>
      <c r="K87" s="61"/>
      <c r="L87" s="47" t="s">
        <v>274</v>
      </c>
      <c r="M87" s="61">
        <f>E87</f>
        <v>1</v>
      </c>
      <c r="N87" s="87"/>
    </row>
    <row r="88" spans="1:14" ht="38.25">
      <c r="A88" s="82"/>
      <c r="B88" s="47" t="s">
        <v>384</v>
      </c>
      <c r="C88" s="60" t="s">
        <v>385</v>
      </c>
      <c r="D88" s="75"/>
      <c r="E88" s="61">
        <v>1</v>
      </c>
      <c r="F88" s="75"/>
      <c r="G88" s="61"/>
      <c r="H88" s="75"/>
      <c r="I88" s="61"/>
      <c r="J88" s="75"/>
      <c r="K88" s="61"/>
      <c r="L88" s="47" t="s">
        <v>274</v>
      </c>
      <c r="M88" s="61">
        <f>E88</f>
        <v>1</v>
      </c>
      <c r="N88" s="87"/>
    </row>
    <row r="89" spans="1:14" ht="12.75">
      <c r="A89" s="82"/>
      <c r="B89" s="47"/>
      <c r="C89" s="60"/>
      <c r="D89" s="75"/>
      <c r="E89" s="75"/>
      <c r="F89" s="75"/>
      <c r="G89" s="75"/>
      <c r="H89" s="75"/>
      <c r="I89" s="75"/>
      <c r="J89" s="75"/>
      <c r="K89" s="75"/>
      <c r="L89" s="47"/>
      <c r="M89" s="75"/>
      <c r="N89" s="87"/>
    </row>
    <row r="90" spans="1:14" ht="12.75">
      <c r="A90" s="82"/>
      <c r="B90" s="81" t="s">
        <v>184</v>
      </c>
      <c r="C90" s="320" t="s">
        <v>386</v>
      </c>
      <c r="D90" s="321"/>
      <c r="E90" s="321"/>
      <c r="F90" s="321"/>
      <c r="G90" s="321"/>
      <c r="H90" s="321"/>
      <c r="I90" s="75"/>
      <c r="J90" s="75"/>
      <c r="K90" s="75"/>
      <c r="L90" s="47"/>
      <c r="M90" s="75"/>
      <c r="N90" s="87"/>
    </row>
    <row r="91" spans="1:14" ht="12.75">
      <c r="A91" s="82"/>
      <c r="B91" s="47" t="s">
        <v>387</v>
      </c>
      <c r="C91" s="60" t="s">
        <v>388</v>
      </c>
      <c r="D91" s="75"/>
      <c r="E91" s="61">
        <f>M48*2</f>
        <v>228.25920000000005</v>
      </c>
      <c r="F91" s="75"/>
      <c r="G91" s="61"/>
      <c r="H91" s="75"/>
      <c r="I91" s="61"/>
      <c r="J91" s="75"/>
      <c r="K91" s="61"/>
      <c r="L91" s="47" t="s">
        <v>274</v>
      </c>
      <c r="M91" s="61">
        <f>E91</f>
        <v>228.25920000000005</v>
      </c>
      <c r="N91" s="87"/>
    </row>
    <row r="92" spans="1:14" ht="12.75">
      <c r="A92" s="82"/>
      <c r="B92" s="47" t="s">
        <v>52</v>
      </c>
      <c r="C92" s="60" t="s">
        <v>389</v>
      </c>
      <c r="D92" s="75"/>
      <c r="E92" s="61">
        <f>E91</f>
        <v>228.25920000000005</v>
      </c>
      <c r="F92" s="75"/>
      <c r="G92" s="61"/>
      <c r="H92" s="75"/>
      <c r="I92" s="61"/>
      <c r="J92" s="65"/>
      <c r="K92" s="61"/>
      <c r="L92" s="47" t="s">
        <v>274</v>
      </c>
      <c r="M92" s="61">
        <f>E92</f>
        <v>228.25920000000005</v>
      </c>
      <c r="N92" s="87"/>
    </row>
    <row r="93" spans="1:14" ht="12.75">
      <c r="A93" s="82"/>
      <c r="B93" s="47" t="s">
        <v>390</v>
      </c>
      <c r="C93" s="76" t="s">
        <v>420</v>
      </c>
      <c r="D93" s="75"/>
      <c r="E93" s="61">
        <f>(1.75+1.2)*2-0.8</f>
        <v>5.1000000000000005</v>
      </c>
      <c r="F93" s="75" t="s">
        <v>295</v>
      </c>
      <c r="G93" s="61">
        <v>1.8</v>
      </c>
      <c r="H93" s="47" t="s">
        <v>302</v>
      </c>
      <c r="I93" s="61">
        <v>1.2</v>
      </c>
      <c r="J93" s="75" t="s">
        <v>295</v>
      </c>
      <c r="K93" s="61">
        <v>1.75</v>
      </c>
      <c r="L93" s="47" t="s">
        <v>274</v>
      </c>
      <c r="M93" s="61">
        <f>E93*G93+I93*K93</f>
        <v>11.280000000000001</v>
      </c>
      <c r="N93" s="87"/>
    </row>
    <row r="94" spans="1:14" ht="25.5">
      <c r="A94" s="82"/>
      <c r="B94" s="47" t="s">
        <v>391</v>
      </c>
      <c r="C94" s="60" t="s">
        <v>392</v>
      </c>
      <c r="D94" s="75"/>
      <c r="E94" s="61">
        <f>(5.95+7.56)*2-(2.75-1.05)</f>
        <v>25.32</v>
      </c>
      <c r="F94" s="75" t="s">
        <v>295</v>
      </c>
      <c r="G94" s="61">
        <v>0.8</v>
      </c>
      <c r="H94" s="75"/>
      <c r="I94" s="61"/>
      <c r="J94" s="61"/>
      <c r="K94" s="61"/>
      <c r="L94" s="47" t="s">
        <v>274</v>
      </c>
      <c r="M94" s="61">
        <f>E94*G94</f>
        <v>20.256</v>
      </c>
      <c r="N94" s="87"/>
    </row>
    <row r="95" spans="1:14" ht="38.25">
      <c r="A95" s="82"/>
      <c r="B95" s="47" t="s">
        <v>421</v>
      </c>
      <c r="C95" s="73" t="s">
        <v>429</v>
      </c>
      <c r="D95" s="52"/>
      <c r="E95" s="61">
        <v>2.4</v>
      </c>
      <c r="F95" s="47" t="s">
        <v>295</v>
      </c>
      <c r="G95" s="46">
        <v>0.6</v>
      </c>
      <c r="H95" s="72" t="s">
        <v>302</v>
      </c>
      <c r="I95" s="46">
        <v>2.4</v>
      </c>
      <c r="J95" s="47" t="s">
        <v>295</v>
      </c>
      <c r="K95" s="46">
        <v>0.6</v>
      </c>
      <c r="L95" s="72" t="s">
        <v>274</v>
      </c>
      <c r="M95" s="33">
        <f>(0.7+1.7+2.4)*0.6</f>
        <v>2.88</v>
      </c>
      <c r="N95" s="87"/>
    </row>
    <row r="96" spans="1:14" ht="12.75">
      <c r="A96" s="82"/>
      <c r="B96" s="47"/>
      <c r="C96" s="73"/>
      <c r="D96" s="52"/>
      <c r="E96" s="75"/>
      <c r="F96" s="47"/>
      <c r="G96" s="72"/>
      <c r="H96" s="72"/>
      <c r="I96" s="72"/>
      <c r="J96" s="47"/>
      <c r="K96" s="72"/>
      <c r="L96" s="72"/>
      <c r="M96" s="66"/>
      <c r="N96" s="87"/>
    </row>
    <row r="97" spans="1:14" ht="12.75">
      <c r="A97" s="82"/>
      <c r="B97" s="81" t="s">
        <v>186</v>
      </c>
      <c r="C97" s="320" t="s">
        <v>393</v>
      </c>
      <c r="D97" s="321"/>
      <c r="E97" s="321"/>
      <c r="F97" s="321"/>
      <c r="G97" s="321"/>
      <c r="H97" s="321"/>
      <c r="I97" s="75"/>
      <c r="J97" s="75"/>
      <c r="K97" s="75"/>
      <c r="L97" s="47"/>
      <c r="M97" s="75"/>
      <c r="N97" s="87"/>
    </row>
    <row r="98" spans="1:14" ht="12.75">
      <c r="A98" s="82"/>
      <c r="B98" s="47" t="s">
        <v>394</v>
      </c>
      <c r="C98" s="60" t="s">
        <v>395</v>
      </c>
      <c r="D98" s="75"/>
      <c r="E98" s="61">
        <f>E33</f>
        <v>39.0375</v>
      </c>
      <c r="F98" s="75" t="s">
        <v>302</v>
      </c>
      <c r="G98" s="61">
        <f>((8.46*2)+(5.95*2))*0.45</f>
        <v>12.969000000000001</v>
      </c>
      <c r="H98" s="75" t="s">
        <v>295</v>
      </c>
      <c r="I98" s="46">
        <v>0.05</v>
      </c>
      <c r="J98" s="47"/>
      <c r="K98" s="46"/>
      <c r="L98" s="72" t="s">
        <v>274</v>
      </c>
      <c r="M98" s="46">
        <f>(E98+G98)*I98</f>
        <v>2.600325</v>
      </c>
      <c r="N98" s="87"/>
    </row>
    <row r="99" spans="1:14" ht="25.5">
      <c r="A99" s="82"/>
      <c r="B99" s="47" t="s">
        <v>396</v>
      </c>
      <c r="C99" s="60" t="s">
        <v>537</v>
      </c>
      <c r="D99" s="75"/>
      <c r="E99" s="61">
        <f>E98-(1.2*1.75)</f>
        <v>36.9375</v>
      </c>
      <c r="F99" s="62" t="s">
        <v>295</v>
      </c>
      <c r="G99" s="61">
        <v>0.05</v>
      </c>
      <c r="H99" s="75"/>
      <c r="I99" s="61"/>
      <c r="J99" s="75"/>
      <c r="K99" s="61"/>
      <c r="L99" s="47" t="s">
        <v>274</v>
      </c>
      <c r="M99" s="61">
        <f>E99*G99</f>
        <v>1.846875</v>
      </c>
      <c r="N99" s="87"/>
    </row>
    <row r="100" spans="1:14" ht="12.75">
      <c r="A100" s="82"/>
      <c r="B100" s="47" t="s">
        <v>397</v>
      </c>
      <c r="C100" s="60" t="s">
        <v>398</v>
      </c>
      <c r="D100" s="75"/>
      <c r="E100" s="61">
        <f>G98</f>
        <v>12.969000000000001</v>
      </c>
      <c r="F100" s="75" t="s">
        <v>302</v>
      </c>
      <c r="G100" s="61">
        <f>1.75*1.2</f>
        <v>2.1</v>
      </c>
      <c r="H100" s="75"/>
      <c r="I100" s="61"/>
      <c r="J100" s="75"/>
      <c r="K100" s="61"/>
      <c r="L100" s="47" t="s">
        <v>274</v>
      </c>
      <c r="M100" s="61">
        <f>E100+G100</f>
        <v>15.069</v>
      </c>
      <c r="N100" s="87"/>
    </row>
    <row r="101" spans="1:14" ht="12.75">
      <c r="A101" s="82"/>
      <c r="B101" s="47"/>
      <c r="C101" s="60"/>
      <c r="D101" s="75"/>
      <c r="E101" s="75"/>
      <c r="F101" s="75"/>
      <c r="G101" s="75"/>
      <c r="H101" s="75"/>
      <c r="I101" s="75"/>
      <c r="J101" s="75"/>
      <c r="K101" s="75"/>
      <c r="L101" s="47"/>
      <c r="M101" s="75"/>
      <c r="N101" s="87"/>
    </row>
    <row r="102" spans="1:14" ht="12.75">
      <c r="A102" s="82"/>
      <c r="B102" s="81" t="s">
        <v>187</v>
      </c>
      <c r="C102" s="320" t="s">
        <v>399</v>
      </c>
      <c r="D102" s="321"/>
      <c r="E102" s="321"/>
      <c r="F102" s="321"/>
      <c r="G102" s="321"/>
      <c r="H102" s="321"/>
      <c r="I102" s="75"/>
      <c r="J102" s="75"/>
      <c r="K102" s="75"/>
      <c r="L102" s="47" t="s">
        <v>274</v>
      </c>
      <c r="M102" s="75"/>
      <c r="N102" s="87"/>
    </row>
    <row r="103" spans="1:14" ht="12.75">
      <c r="A103" s="82"/>
      <c r="B103" s="47" t="s">
        <v>400</v>
      </c>
      <c r="C103" s="60" t="s">
        <v>413</v>
      </c>
      <c r="D103" s="75"/>
      <c r="E103" s="61">
        <v>4</v>
      </c>
      <c r="F103" s="75"/>
      <c r="G103" s="61"/>
      <c r="H103" s="75"/>
      <c r="I103" s="61"/>
      <c r="J103" s="75"/>
      <c r="K103" s="61"/>
      <c r="L103" s="47" t="s">
        <v>274</v>
      </c>
      <c r="M103" s="61">
        <f>E103</f>
        <v>4</v>
      </c>
      <c r="N103" s="87"/>
    </row>
    <row r="104" spans="1:14" ht="12.75">
      <c r="A104" s="82"/>
      <c r="B104" s="47" t="s">
        <v>55</v>
      </c>
      <c r="C104" s="60" t="s">
        <v>430</v>
      </c>
      <c r="D104" s="75"/>
      <c r="E104" s="61">
        <v>1</v>
      </c>
      <c r="F104" s="75"/>
      <c r="G104" s="61"/>
      <c r="H104" s="75"/>
      <c r="I104" s="61"/>
      <c r="J104" s="75"/>
      <c r="K104" s="61"/>
      <c r="L104" s="47" t="s">
        <v>274</v>
      </c>
      <c r="M104" s="61">
        <f>E104</f>
        <v>1</v>
      </c>
      <c r="N104" s="87"/>
    </row>
    <row r="105" spans="1:14" ht="12.75">
      <c r="A105" s="82"/>
      <c r="B105" s="47" t="s">
        <v>57</v>
      </c>
      <c r="C105" s="60" t="s">
        <v>414</v>
      </c>
      <c r="D105" s="75"/>
      <c r="E105" s="61">
        <f>4*1.5*1</f>
        <v>6</v>
      </c>
      <c r="F105" s="75" t="s">
        <v>302</v>
      </c>
      <c r="G105" s="61">
        <f>1*0.6*0.6</f>
        <v>0.36</v>
      </c>
      <c r="H105" s="75"/>
      <c r="I105" s="61"/>
      <c r="J105" s="75"/>
      <c r="K105" s="61"/>
      <c r="L105" s="47" t="s">
        <v>274</v>
      </c>
      <c r="M105" s="61">
        <f>E105+G105</f>
        <v>6.36</v>
      </c>
      <c r="N105" s="87"/>
    </row>
    <row r="106" spans="1:14" ht="12.75">
      <c r="A106" s="82"/>
      <c r="B106" s="47"/>
      <c r="C106" s="60"/>
      <c r="D106" s="75"/>
      <c r="E106" s="75"/>
      <c r="F106" s="75"/>
      <c r="G106" s="75"/>
      <c r="H106" s="75"/>
      <c r="I106" s="75"/>
      <c r="J106" s="75"/>
      <c r="K106" s="75"/>
      <c r="L106" s="47"/>
      <c r="M106" s="75"/>
      <c r="N106" s="87"/>
    </row>
    <row r="107" spans="1:14" ht="12.75">
      <c r="A107" s="82"/>
      <c r="B107" s="81" t="s">
        <v>188</v>
      </c>
      <c r="C107" s="320" t="s">
        <v>191</v>
      </c>
      <c r="D107" s="321"/>
      <c r="E107" s="321"/>
      <c r="F107" s="321"/>
      <c r="G107" s="321"/>
      <c r="H107" s="321"/>
      <c r="I107" s="75"/>
      <c r="J107" s="75"/>
      <c r="K107" s="75"/>
      <c r="L107" s="47"/>
      <c r="M107" s="75"/>
      <c r="N107" s="87"/>
    </row>
    <row r="108" spans="1:14" ht="12.75">
      <c r="A108" s="82"/>
      <c r="B108" s="47" t="s">
        <v>59</v>
      </c>
      <c r="C108" s="60" t="s">
        <v>401</v>
      </c>
      <c r="D108" s="75"/>
      <c r="E108" s="61">
        <f>E92</f>
        <v>228.25920000000005</v>
      </c>
      <c r="F108" s="75"/>
      <c r="G108" s="61"/>
      <c r="H108" s="75"/>
      <c r="I108" s="61"/>
      <c r="J108" s="75"/>
      <c r="K108" s="61"/>
      <c r="L108" s="47" t="s">
        <v>274</v>
      </c>
      <c r="M108" s="61">
        <f>E108</f>
        <v>228.25920000000005</v>
      </c>
      <c r="N108" s="87"/>
    </row>
    <row r="109" spans="1:14" ht="25.5">
      <c r="A109" s="82"/>
      <c r="B109" s="47" t="s">
        <v>61</v>
      </c>
      <c r="C109" s="60" t="s">
        <v>402</v>
      </c>
      <c r="D109" s="75"/>
      <c r="E109" s="61">
        <f>0.5*4*4</f>
        <v>8</v>
      </c>
      <c r="F109" s="75" t="s">
        <v>302</v>
      </c>
      <c r="G109" s="61">
        <f>4*1.5*1*2</f>
        <v>12</v>
      </c>
      <c r="H109" s="75" t="s">
        <v>302</v>
      </c>
      <c r="I109" s="61">
        <f>1*0.6*0.6*2</f>
        <v>0.72</v>
      </c>
      <c r="J109" s="75" t="s">
        <v>302</v>
      </c>
      <c r="K109" s="61">
        <f>(4*0.8*2.1*2)+(1*0.6*2.1*2)</f>
        <v>15.96</v>
      </c>
      <c r="L109" s="47" t="s">
        <v>274</v>
      </c>
      <c r="M109" s="61">
        <f>E109+G109+I109+K109</f>
        <v>36.68</v>
      </c>
      <c r="N109" s="87"/>
    </row>
    <row r="110" spans="1:14" ht="12.75">
      <c r="A110" s="82"/>
      <c r="B110" s="47"/>
      <c r="C110" s="60"/>
      <c r="D110" s="75"/>
      <c r="E110" s="75"/>
      <c r="F110" s="75"/>
      <c r="G110" s="75"/>
      <c r="H110" s="75"/>
      <c r="I110" s="75"/>
      <c r="J110" s="75"/>
      <c r="K110" s="75"/>
      <c r="L110" s="47"/>
      <c r="M110" s="75"/>
      <c r="N110" s="87"/>
    </row>
    <row r="111" spans="1:14" ht="12.75">
      <c r="A111" s="82"/>
      <c r="B111" s="81" t="s">
        <v>189</v>
      </c>
      <c r="C111" s="320" t="s">
        <v>403</v>
      </c>
      <c r="D111" s="321"/>
      <c r="E111" s="321"/>
      <c r="F111" s="321"/>
      <c r="G111" s="321"/>
      <c r="H111" s="321"/>
      <c r="I111" s="75"/>
      <c r="J111" s="75"/>
      <c r="K111" s="75"/>
      <c r="L111" s="47"/>
      <c r="M111" s="75"/>
      <c r="N111" s="87"/>
    </row>
    <row r="112" spans="1:14" ht="12.75">
      <c r="A112" s="82"/>
      <c r="B112" s="47" t="s">
        <v>64</v>
      </c>
      <c r="C112" s="60" t="s">
        <v>404</v>
      </c>
      <c r="D112" s="75"/>
      <c r="E112" s="61">
        <v>1</v>
      </c>
      <c r="F112" s="75" t="s">
        <v>295</v>
      </c>
      <c r="G112" s="61">
        <v>1</v>
      </c>
      <c r="H112" s="75" t="s">
        <v>295</v>
      </c>
      <c r="I112" s="61">
        <v>0.3</v>
      </c>
      <c r="J112" s="75"/>
      <c r="K112" s="61"/>
      <c r="L112" s="47" t="s">
        <v>274</v>
      </c>
      <c r="M112" s="61">
        <f>E112*G112*I112</f>
        <v>0.3</v>
      </c>
      <c r="N112" s="87"/>
    </row>
    <row r="113" spans="1:14" ht="12.75">
      <c r="A113" s="82"/>
      <c r="B113" s="47" t="s">
        <v>65</v>
      </c>
      <c r="C113" s="60" t="s">
        <v>405</v>
      </c>
      <c r="D113" s="75"/>
      <c r="E113" s="61">
        <f>1*1*0.3</f>
        <v>0.3</v>
      </c>
      <c r="F113" s="301" t="s">
        <v>295</v>
      </c>
      <c r="G113" s="61">
        <v>0.7</v>
      </c>
      <c r="H113" s="301" t="s">
        <v>295</v>
      </c>
      <c r="I113" s="61">
        <v>0.7</v>
      </c>
      <c r="J113" s="75"/>
      <c r="K113" s="61"/>
      <c r="L113" s="47" t="s">
        <v>274</v>
      </c>
      <c r="M113" s="61">
        <f>E113*G113*I113</f>
        <v>0.147</v>
      </c>
      <c r="N113" s="87"/>
    </row>
    <row r="114" spans="1:14" ht="25.5">
      <c r="A114" s="82"/>
      <c r="B114" s="47" t="s">
        <v>406</v>
      </c>
      <c r="C114" s="60" t="s">
        <v>407</v>
      </c>
      <c r="D114" s="75"/>
      <c r="E114" s="61">
        <v>1</v>
      </c>
      <c r="F114" s="75"/>
      <c r="G114" s="61"/>
      <c r="H114" s="75"/>
      <c r="I114" s="61"/>
      <c r="J114" s="75"/>
      <c r="K114" s="61"/>
      <c r="L114" s="47" t="s">
        <v>274</v>
      </c>
      <c r="M114" s="61">
        <f>E114</f>
        <v>1</v>
      </c>
      <c r="N114" s="87"/>
    </row>
    <row r="115" spans="1:14" ht="38.25">
      <c r="A115" s="82"/>
      <c r="B115" s="47" t="s">
        <v>408</v>
      </c>
      <c r="C115" s="56" t="s">
        <v>425</v>
      </c>
      <c r="D115" s="75"/>
      <c r="E115" s="61">
        <v>1</v>
      </c>
      <c r="F115" s="75"/>
      <c r="G115" s="61"/>
      <c r="H115" s="75"/>
      <c r="I115" s="61"/>
      <c r="J115" s="75"/>
      <c r="K115" s="61"/>
      <c r="L115" s="47" t="s">
        <v>274</v>
      </c>
      <c r="M115" s="61">
        <f>E115</f>
        <v>1</v>
      </c>
      <c r="N115" s="87"/>
    </row>
    <row r="116" spans="1:14" ht="12.75">
      <c r="A116" s="82"/>
      <c r="B116" s="47"/>
      <c r="C116" s="60"/>
      <c r="D116" s="75"/>
      <c r="E116" s="61">
        <v>1</v>
      </c>
      <c r="F116" s="75"/>
      <c r="G116" s="61"/>
      <c r="H116" s="67"/>
      <c r="I116" s="68"/>
      <c r="J116" s="75"/>
      <c r="K116" s="61"/>
      <c r="L116" s="47" t="s">
        <v>274</v>
      </c>
      <c r="M116" s="61">
        <f>E116</f>
        <v>1</v>
      </c>
      <c r="N116" s="87"/>
    </row>
    <row r="117" spans="1:14" ht="12.75">
      <c r="A117" s="82"/>
      <c r="B117" s="81" t="s">
        <v>190</v>
      </c>
      <c r="C117" s="320" t="s">
        <v>66</v>
      </c>
      <c r="D117" s="321"/>
      <c r="E117" s="321"/>
      <c r="F117" s="321"/>
      <c r="G117" s="321"/>
      <c r="H117" s="321"/>
      <c r="I117" s="75"/>
      <c r="J117" s="75"/>
      <c r="K117" s="75"/>
      <c r="L117" s="47"/>
      <c r="M117" s="75"/>
      <c r="N117" s="87"/>
    </row>
    <row r="118" spans="1:14" ht="12.75">
      <c r="A118" s="82"/>
      <c r="B118" s="47" t="s">
        <v>67</v>
      </c>
      <c r="C118" s="60" t="s">
        <v>409</v>
      </c>
      <c r="D118" s="75"/>
      <c r="E118" s="61">
        <f>M9</f>
        <v>44.982</v>
      </c>
      <c r="F118" s="75"/>
      <c r="G118" s="61"/>
      <c r="H118" s="75"/>
      <c r="I118" s="61"/>
      <c r="J118" s="75"/>
      <c r="K118" s="61"/>
      <c r="L118" s="47" t="s">
        <v>274</v>
      </c>
      <c r="M118" s="61">
        <f>E118</f>
        <v>44.982</v>
      </c>
      <c r="N118" s="87"/>
    </row>
    <row r="119" spans="1:14" ht="13.5" thickBot="1">
      <c r="A119" s="93"/>
      <c r="B119" s="88"/>
      <c r="C119" s="94"/>
      <c r="D119" s="94"/>
      <c r="E119" s="94"/>
      <c r="F119" s="94"/>
      <c r="G119" s="94"/>
      <c r="H119" s="94"/>
      <c r="I119" s="94"/>
      <c r="J119" s="94"/>
      <c r="K119" s="94"/>
      <c r="L119" s="94"/>
      <c r="M119" s="94"/>
      <c r="N119" s="89"/>
    </row>
  </sheetData>
  <sheetProtection formatCells="0" formatColumns="0" formatRows="0"/>
  <mergeCells count="29">
    <mergeCell ref="C97:H97"/>
    <mergeCell ref="C102:H102"/>
    <mergeCell ref="C107:H107"/>
    <mergeCell ref="C111:H111"/>
    <mergeCell ref="C117:H117"/>
    <mergeCell ref="C90:H90"/>
    <mergeCell ref="C54:H54"/>
    <mergeCell ref="C68:H68"/>
    <mergeCell ref="C84:H84"/>
    <mergeCell ref="B5:C5"/>
    <mergeCell ref="D5:F5"/>
    <mergeCell ref="C8:H8"/>
    <mergeCell ref="D13:I13"/>
    <mergeCell ref="C17:H17"/>
    <mergeCell ref="C31:H31"/>
    <mergeCell ref="C35:H35"/>
    <mergeCell ref="B6:C6"/>
    <mergeCell ref="D6:F6"/>
    <mergeCell ref="G6:I6"/>
    <mergeCell ref="K6:M6"/>
    <mergeCell ref="B4:M4"/>
    <mergeCell ref="C50:H50"/>
    <mergeCell ref="C41:H41"/>
    <mergeCell ref="B1:M1"/>
    <mergeCell ref="B2:C2"/>
    <mergeCell ref="I2:J2"/>
    <mergeCell ref="B3:M3"/>
    <mergeCell ref="K2:M2"/>
    <mergeCell ref="K5:L5"/>
  </mergeCells>
  <printOptions horizontalCentered="1"/>
  <pageMargins left="0.5905511811023623" right="0.3937007874015748" top="0.5905511811023623" bottom="0.3937007874015748" header="0.1968503937007874" footer="0.1968503937007874"/>
  <pageSetup horizontalDpi="600" verticalDpi="600" orientation="landscape" paperSize="9" scale="95"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tabColor rgb="FF00B050"/>
  </sheetPr>
  <dimension ref="B1:L148"/>
  <sheetViews>
    <sheetView tabSelected="1" zoomScaleSheetLayoutView="100" zoomScalePageLayoutView="0" workbookViewId="0" topLeftCell="A1">
      <selection activeCell="F135" sqref="F135"/>
    </sheetView>
  </sheetViews>
  <sheetFormatPr defaultColWidth="9.140625" defaultRowHeight="15"/>
  <cols>
    <col min="1" max="1" width="9.140625" style="96" customWidth="1"/>
    <col min="2" max="2" width="10.28125" style="99" customWidth="1"/>
    <col min="3" max="3" width="18.421875" style="96" bestFit="1" customWidth="1"/>
    <col min="4" max="4" width="59.7109375" style="100" customWidth="1"/>
    <col min="5" max="5" width="9.8515625" style="96" bestFit="1" customWidth="1"/>
    <col min="6" max="6" width="11.00390625" style="96" customWidth="1"/>
    <col min="7" max="7" width="11.7109375" style="96" customWidth="1"/>
    <col min="8" max="8" width="13.140625" style="96" customWidth="1"/>
    <col min="9" max="11" width="9.140625" style="96" customWidth="1"/>
    <col min="12" max="12" width="58.57421875" style="96" customWidth="1"/>
    <col min="13" max="16384" width="9.140625" style="96" customWidth="1"/>
  </cols>
  <sheetData>
    <row r="1" spans="2:8" ht="15">
      <c r="B1" s="348" t="s">
        <v>147</v>
      </c>
      <c r="C1" s="349"/>
      <c r="D1" s="349"/>
      <c r="E1" s="349"/>
      <c r="F1" s="349"/>
      <c r="G1" s="349"/>
      <c r="H1" s="350"/>
    </row>
    <row r="2" spans="2:8" ht="30" customHeight="1">
      <c r="B2" s="351" t="s">
        <v>148</v>
      </c>
      <c r="C2" s="352"/>
      <c r="D2" s="149" t="s">
        <v>437</v>
      </c>
      <c r="E2" s="101">
        <f>MemCalc2Q!M9</f>
        <v>44.982</v>
      </c>
      <c r="F2" s="101" t="s">
        <v>7</v>
      </c>
      <c r="G2" s="102" t="s">
        <v>149</v>
      </c>
      <c r="H2" s="162">
        <v>0</v>
      </c>
    </row>
    <row r="3" spans="2:8" ht="15.75" customHeight="1">
      <c r="B3" s="351"/>
      <c r="C3" s="352"/>
      <c r="D3" s="352" t="s">
        <v>443</v>
      </c>
      <c r="E3" s="352"/>
      <c r="F3" s="352"/>
      <c r="G3" s="352"/>
      <c r="H3" s="353"/>
    </row>
    <row r="4" spans="2:8" ht="16.5" customHeight="1">
      <c r="B4" s="351"/>
      <c r="C4" s="352"/>
      <c r="D4" s="352" t="s">
        <v>442</v>
      </c>
      <c r="E4" s="352"/>
      <c r="F4" s="352"/>
      <c r="G4" s="352"/>
      <c r="H4" s="353"/>
    </row>
    <row r="5" spans="2:8" ht="15.75" customHeight="1">
      <c r="B5" s="354" t="s">
        <v>150</v>
      </c>
      <c r="C5" s="355"/>
      <c r="D5" s="174"/>
      <c r="E5" s="352" t="s">
        <v>518</v>
      </c>
      <c r="F5" s="352"/>
      <c r="G5" s="149" t="s">
        <v>516</v>
      </c>
      <c r="H5" s="173">
        <f>'LDI - BDI'!H6</f>
        <v>0.2114879980079678</v>
      </c>
    </row>
    <row r="6" spans="2:8" ht="15">
      <c r="B6" s="337"/>
      <c r="C6" s="338"/>
      <c r="D6" s="161"/>
      <c r="E6" s="339"/>
      <c r="F6" s="340"/>
      <c r="G6" s="289">
        <f>'LDI - BDI'!C26</f>
        <v>0.2114879980079678</v>
      </c>
      <c r="H6" s="163"/>
    </row>
    <row r="7" spans="2:8" ht="10.5" customHeight="1">
      <c r="B7" s="341" t="s">
        <v>0</v>
      </c>
      <c r="C7" s="342" t="s">
        <v>513</v>
      </c>
      <c r="D7" s="343" t="s">
        <v>1</v>
      </c>
      <c r="E7" s="342" t="s">
        <v>2</v>
      </c>
      <c r="F7" s="342" t="s">
        <v>3</v>
      </c>
      <c r="G7" s="342" t="s">
        <v>509</v>
      </c>
      <c r="H7" s="347" t="s">
        <v>154</v>
      </c>
    </row>
    <row r="8" spans="2:8" ht="7.5" customHeight="1">
      <c r="B8" s="341"/>
      <c r="C8" s="342"/>
      <c r="D8" s="344"/>
      <c r="E8" s="346"/>
      <c r="F8" s="346"/>
      <c r="G8" s="342"/>
      <c r="H8" s="347"/>
    </row>
    <row r="9" spans="2:8" ht="10.5" customHeight="1">
      <c r="B9" s="341"/>
      <c r="C9" s="342"/>
      <c r="D9" s="345"/>
      <c r="E9" s="346"/>
      <c r="F9" s="346"/>
      <c r="G9" s="342"/>
      <c r="H9" s="347"/>
    </row>
    <row r="10" spans="2:8" ht="28.5" customHeight="1">
      <c r="B10" s="150" t="s">
        <v>444</v>
      </c>
      <c r="C10" s="151"/>
      <c r="D10" s="152" t="s">
        <v>5</v>
      </c>
      <c r="E10" s="153"/>
      <c r="F10" s="153"/>
      <c r="G10" s="153"/>
      <c r="H10" s="164">
        <f>SUM(H11:H12)</f>
        <v>0</v>
      </c>
    </row>
    <row r="11" spans="2:9" ht="15.75" customHeight="1">
      <c r="B11" s="154" t="s">
        <v>6</v>
      </c>
      <c r="C11" s="103" t="s">
        <v>110</v>
      </c>
      <c r="D11" s="104" t="s">
        <v>107</v>
      </c>
      <c r="E11" s="105" t="s">
        <v>7</v>
      </c>
      <c r="F11" s="32">
        <f>MemCalc2Q!M10</f>
        <v>57.951</v>
      </c>
      <c r="G11" s="290"/>
      <c r="H11" s="165">
        <f>(F11*G11)</f>
        <v>0</v>
      </c>
      <c r="I11" s="34"/>
    </row>
    <row r="12" spans="2:9" ht="30" customHeight="1">
      <c r="B12" s="106" t="s">
        <v>106</v>
      </c>
      <c r="C12" s="107" t="s">
        <v>519</v>
      </c>
      <c r="D12" s="133" t="s">
        <v>520</v>
      </c>
      <c r="E12" s="109" t="s">
        <v>7</v>
      </c>
      <c r="F12" s="32">
        <f>MemCalc2Q!M9</f>
        <v>44.982</v>
      </c>
      <c r="G12" s="291"/>
      <c r="H12" s="165">
        <f>(F12*G12)</f>
        <v>0</v>
      </c>
      <c r="I12" s="34"/>
    </row>
    <row r="13" spans="2:9" ht="15.75" customHeight="1">
      <c r="B13" s="106"/>
      <c r="C13" s="107"/>
      <c r="D13" s="155"/>
      <c r="E13" s="109"/>
      <c r="F13" s="32"/>
      <c r="G13" s="32"/>
      <c r="H13" s="165"/>
      <c r="I13" s="34"/>
    </row>
    <row r="14" spans="2:9" ht="15.75">
      <c r="B14" s="150" t="s">
        <v>445</v>
      </c>
      <c r="C14" s="151"/>
      <c r="D14" s="152" t="s">
        <v>8</v>
      </c>
      <c r="E14" s="153"/>
      <c r="F14" s="153"/>
      <c r="G14" s="153"/>
      <c r="H14" s="164">
        <f>H15+H16</f>
        <v>0</v>
      </c>
      <c r="I14" s="34"/>
    </row>
    <row r="15" spans="2:9" ht="15.75" customHeight="1">
      <c r="B15" s="106" t="s">
        <v>9</v>
      </c>
      <c r="C15" s="107" t="s">
        <v>111</v>
      </c>
      <c r="D15" s="113" t="s">
        <v>112</v>
      </c>
      <c r="E15" s="110" t="s">
        <v>517</v>
      </c>
      <c r="F15" s="32">
        <f>MemCalc2Q!M14</f>
        <v>1221.3</v>
      </c>
      <c r="G15" s="291"/>
      <c r="H15" s="165">
        <f>(F15*G15)</f>
        <v>0</v>
      </c>
      <c r="I15" s="34"/>
    </row>
    <row r="16" spans="2:9" ht="15.75" customHeight="1">
      <c r="B16" s="111" t="s">
        <v>446</v>
      </c>
      <c r="C16" s="112"/>
      <c r="D16" s="155" t="s">
        <v>290</v>
      </c>
      <c r="E16" s="114"/>
      <c r="F16" s="32">
        <f>MemCalc2Q!M15</f>
        <v>0.02</v>
      </c>
      <c r="G16" s="292"/>
      <c r="H16" s="165">
        <f>(F16*G16)</f>
        <v>0</v>
      </c>
      <c r="I16" s="34"/>
    </row>
    <row r="17" spans="2:9" ht="15.75" customHeight="1">
      <c r="B17" s="111"/>
      <c r="C17" s="112"/>
      <c r="D17" s="155"/>
      <c r="E17" s="114"/>
      <c r="F17" s="33"/>
      <c r="G17" s="109"/>
      <c r="H17" s="165"/>
      <c r="I17" s="34"/>
    </row>
    <row r="18" spans="2:9" ht="15.75">
      <c r="B18" s="150" t="s">
        <v>447</v>
      </c>
      <c r="C18" s="151"/>
      <c r="D18" s="152" t="s">
        <v>11</v>
      </c>
      <c r="E18" s="153"/>
      <c r="F18" s="153"/>
      <c r="G18" s="153"/>
      <c r="H18" s="164">
        <f>SUM(H19:H30)</f>
        <v>0</v>
      </c>
      <c r="I18" s="34"/>
    </row>
    <row r="19" spans="2:9" ht="15.75" customHeight="1">
      <c r="B19" s="115" t="s">
        <v>93</v>
      </c>
      <c r="C19" s="107">
        <v>2707</v>
      </c>
      <c r="D19" s="113" t="s">
        <v>12</v>
      </c>
      <c r="E19" s="110" t="s">
        <v>10</v>
      </c>
      <c r="F19" s="117">
        <f>MemCalc2Q!M18</f>
        <v>5.467425414364641</v>
      </c>
      <c r="G19" s="293"/>
      <c r="H19" s="165">
        <f aca="true" t="shared" si="0" ref="H19:H71">(F19*G19)</f>
        <v>0</v>
      </c>
      <c r="I19" s="34"/>
    </row>
    <row r="20" spans="2:9" ht="15.75" customHeight="1">
      <c r="B20" s="115" t="s">
        <v>94</v>
      </c>
      <c r="C20" s="107">
        <v>4083</v>
      </c>
      <c r="D20" s="113" t="s">
        <v>108</v>
      </c>
      <c r="E20" s="110" t="s">
        <v>10</v>
      </c>
      <c r="F20" s="117">
        <f>MemCalc2Q!M19</f>
        <v>10.934850828729282</v>
      </c>
      <c r="G20" s="293"/>
      <c r="H20" s="165">
        <f t="shared" si="0"/>
        <v>0</v>
      </c>
      <c r="I20" s="34"/>
    </row>
    <row r="21" spans="2:9" ht="15.75" customHeight="1">
      <c r="B21" s="115" t="s">
        <v>95</v>
      </c>
      <c r="C21" s="107"/>
      <c r="D21" s="159" t="s">
        <v>448</v>
      </c>
      <c r="E21" s="110"/>
      <c r="F21" s="117">
        <f>MemCalc2Q!M20</f>
        <v>2</v>
      </c>
      <c r="G21" s="293"/>
      <c r="H21" s="165">
        <f t="shared" si="0"/>
        <v>0</v>
      </c>
      <c r="I21" s="34"/>
    </row>
    <row r="22" spans="2:9" ht="15.75" customHeight="1">
      <c r="B22" s="115" t="s">
        <v>452</v>
      </c>
      <c r="C22" s="107"/>
      <c r="D22" s="113" t="s">
        <v>449</v>
      </c>
      <c r="E22" s="110" t="s">
        <v>13</v>
      </c>
      <c r="F22" s="117">
        <f>MemCalc2Q!E21</f>
        <v>100</v>
      </c>
      <c r="G22" s="293"/>
      <c r="H22" s="165">
        <f t="shared" si="0"/>
        <v>0</v>
      </c>
      <c r="I22" s="34"/>
    </row>
    <row r="23" spans="2:9" ht="15.75" customHeight="1">
      <c r="B23" s="115" t="s">
        <v>96</v>
      </c>
      <c r="C23" s="107"/>
      <c r="D23" s="113" t="s">
        <v>450</v>
      </c>
      <c r="E23" s="110" t="s">
        <v>13</v>
      </c>
      <c r="F23" s="117">
        <f>MemCalc2Q!G21</f>
        <v>50</v>
      </c>
      <c r="G23" s="293"/>
      <c r="H23" s="165">
        <f t="shared" si="0"/>
        <v>0</v>
      </c>
      <c r="I23" s="34"/>
    </row>
    <row r="24" spans="2:9" ht="15.75" customHeight="1">
      <c r="B24" s="115" t="s">
        <v>97</v>
      </c>
      <c r="C24" s="107">
        <v>12892</v>
      </c>
      <c r="D24" s="133" t="s">
        <v>14</v>
      </c>
      <c r="E24" s="110" t="s">
        <v>15</v>
      </c>
      <c r="F24" s="119">
        <f>MemCalc2Q!M23</f>
        <v>1</v>
      </c>
      <c r="G24" s="294"/>
      <c r="H24" s="165">
        <f t="shared" si="0"/>
        <v>0</v>
      </c>
      <c r="I24" s="34"/>
    </row>
    <row r="25" spans="2:9" ht="15.75" customHeight="1">
      <c r="B25" s="115" t="s">
        <v>98</v>
      </c>
      <c r="C25" s="107" t="s">
        <v>144</v>
      </c>
      <c r="D25" s="133" t="s">
        <v>16</v>
      </c>
      <c r="E25" s="110" t="s">
        <v>15</v>
      </c>
      <c r="F25" s="119">
        <f>MemCalc2Q!M28</f>
        <v>0.2</v>
      </c>
      <c r="G25" s="294"/>
      <c r="H25" s="165">
        <f t="shared" si="0"/>
        <v>0</v>
      </c>
      <c r="I25" s="34"/>
    </row>
    <row r="26" spans="2:9" ht="15.75" customHeight="1">
      <c r="B26" s="115" t="s">
        <v>99</v>
      </c>
      <c r="C26" s="107">
        <v>12893</v>
      </c>
      <c r="D26" s="133" t="s">
        <v>72</v>
      </c>
      <c r="E26" s="110" t="s">
        <v>15</v>
      </c>
      <c r="F26" s="119">
        <f>MemCalc2Q!M24</f>
        <v>2</v>
      </c>
      <c r="G26" s="294"/>
      <c r="H26" s="165">
        <f t="shared" si="0"/>
        <v>0</v>
      </c>
      <c r="I26" s="34"/>
    </row>
    <row r="27" spans="2:9" ht="15.75" customHeight="1">
      <c r="B27" s="115" t="s">
        <v>100</v>
      </c>
      <c r="C27" s="107">
        <v>12895</v>
      </c>
      <c r="D27" s="133" t="s">
        <v>17</v>
      </c>
      <c r="E27" s="110" t="s">
        <v>13</v>
      </c>
      <c r="F27" s="119">
        <f>MemCalc2Q!M25</f>
        <v>0.013333333333333334</v>
      </c>
      <c r="G27" s="294"/>
      <c r="H27" s="165">
        <f t="shared" si="0"/>
        <v>0</v>
      </c>
      <c r="I27" s="34"/>
    </row>
    <row r="28" spans="2:9" ht="15.75" customHeight="1">
      <c r="B28" s="115" t="s">
        <v>101</v>
      </c>
      <c r="C28" s="107">
        <v>12894</v>
      </c>
      <c r="D28" s="133" t="s">
        <v>18</v>
      </c>
      <c r="E28" s="110" t="s">
        <v>13</v>
      </c>
      <c r="F28" s="119">
        <f>MemCalc2Q!M26</f>
        <v>0.02</v>
      </c>
      <c r="G28" s="294"/>
      <c r="H28" s="165">
        <f t="shared" si="0"/>
        <v>0</v>
      </c>
      <c r="I28" s="34"/>
    </row>
    <row r="29" spans="2:9" ht="15.75" customHeight="1">
      <c r="B29" s="115" t="s">
        <v>102</v>
      </c>
      <c r="C29" s="107" t="s">
        <v>144</v>
      </c>
      <c r="D29" s="133" t="s">
        <v>19</v>
      </c>
      <c r="E29" s="110" t="s">
        <v>13</v>
      </c>
      <c r="F29" s="119">
        <f>MemCalc2Q!M27</f>
        <v>0.04</v>
      </c>
      <c r="G29" s="294"/>
      <c r="H29" s="165">
        <f t="shared" si="0"/>
        <v>0</v>
      </c>
      <c r="I29" s="34"/>
    </row>
    <row r="30" spans="2:9" ht="15.75" customHeight="1">
      <c r="B30" s="115" t="s">
        <v>143</v>
      </c>
      <c r="C30" s="107"/>
      <c r="D30" s="159" t="s">
        <v>451</v>
      </c>
      <c r="E30" s="110" t="s">
        <v>13</v>
      </c>
      <c r="F30" s="119">
        <f>MemCalc2Q!M29</f>
        <v>0.14285714285714285</v>
      </c>
      <c r="G30" s="294"/>
      <c r="H30" s="165">
        <f t="shared" si="0"/>
        <v>0</v>
      </c>
      <c r="I30" s="34"/>
    </row>
    <row r="31" spans="2:9" ht="15.75" customHeight="1">
      <c r="B31" s="111"/>
      <c r="C31" s="112"/>
      <c r="D31" s="113"/>
      <c r="E31" s="116"/>
      <c r="F31" s="114"/>
      <c r="G31" s="114"/>
      <c r="H31" s="165"/>
      <c r="I31" s="34"/>
    </row>
    <row r="32" spans="2:11" ht="15.75">
      <c r="B32" s="150" t="s">
        <v>453</v>
      </c>
      <c r="C32" s="151"/>
      <c r="D32" s="152" t="s">
        <v>20</v>
      </c>
      <c r="E32" s="153"/>
      <c r="F32" s="153"/>
      <c r="G32" s="153"/>
      <c r="H32" s="164">
        <f>SUM(H33:H34)</f>
        <v>0</v>
      </c>
      <c r="I32" s="34"/>
      <c r="K32" s="97"/>
    </row>
    <row r="33" spans="2:9" ht="15.75">
      <c r="B33" s="115" t="s">
        <v>21</v>
      </c>
      <c r="C33" s="107" t="s">
        <v>113</v>
      </c>
      <c r="D33" s="133" t="s">
        <v>73</v>
      </c>
      <c r="E33" s="110" t="s">
        <v>22</v>
      </c>
      <c r="F33" s="32">
        <f>MemCalc2Q!M32</f>
        <v>6.1938</v>
      </c>
      <c r="G33" s="291"/>
      <c r="H33" s="165">
        <f>(F33*G33)</f>
        <v>0</v>
      </c>
      <c r="I33" s="34"/>
    </row>
    <row r="34" spans="2:9" ht="15.75">
      <c r="B34" s="115" t="s">
        <v>23</v>
      </c>
      <c r="C34" s="107">
        <v>53527</v>
      </c>
      <c r="D34" s="156" t="s">
        <v>114</v>
      </c>
      <c r="E34" s="117" t="s">
        <v>22</v>
      </c>
      <c r="F34" s="117">
        <f>MemCalc2Q!M33</f>
        <v>5.855625</v>
      </c>
      <c r="G34" s="293"/>
      <c r="H34" s="165">
        <f>(F34*G34)</f>
        <v>0</v>
      </c>
      <c r="I34" s="34"/>
    </row>
    <row r="35" spans="2:9" ht="15.75">
      <c r="B35" s="118"/>
      <c r="C35" s="112"/>
      <c r="D35" s="113"/>
      <c r="E35" s="114"/>
      <c r="F35" s="114"/>
      <c r="G35" s="114"/>
      <c r="H35" s="165"/>
      <c r="I35" s="34"/>
    </row>
    <row r="36" spans="2:9" ht="15.75">
      <c r="B36" s="150">
        <v>5</v>
      </c>
      <c r="C36" s="151"/>
      <c r="D36" s="152" t="s">
        <v>24</v>
      </c>
      <c r="E36" s="153"/>
      <c r="F36" s="153"/>
      <c r="G36" s="153"/>
      <c r="H36" s="164">
        <f>SUM(H37:H40)</f>
        <v>0</v>
      </c>
      <c r="I36" s="34"/>
    </row>
    <row r="37" spans="2:9" ht="15.75" customHeight="1">
      <c r="B37" s="115" t="s">
        <v>25</v>
      </c>
      <c r="C37" s="107" t="s">
        <v>115</v>
      </c>
      <c r="D37" s="133" t="s">
        <v>109</v>
      </c>
      <c r="E37" s="110" t="s">
        <v>7</v>
      </c>
      <c r="F37" s="32">
        <f>MemCalc2Q!M36</f>
        <v>13.764000000000001</v>
      </c>
      <c r="G37" s="291"/>
      <c r="H37" s="165">
        <f>(F37*G37)</f>
        <v>0</v>
      </c>
      <c r="I37" s="34"/>
    </row>
    <row r="38" spans="2:9" ht="15.75" customHeight="1">
      <c r="B38" s="115" t="s">
        <v>454</v>
      </c>
      <c r="C38" s="107" t="s">
        <v>116</v>
      </c>
      <c r="D38" s="133" t="s">
        <v>27</v>
      </c>
      <c r="E38" s="110" t="s">
        <v>22</v>
      </c>
      <c r="F38" s="32">
        <f>MemCalc2Q!M37</f>
        <v>5.5056</v>
      </c>
      <c r="G38" s="291"/>
      <c r="H38" s="165">
        <f>(F38*G38)</f>
        <v>0</v>
      </c>
      <c r="I38" s="34"/>
    </row>
    <row r="39" spans="2:9" ht="15.75" customHeight="1">
      <c r="B39" s="115" t="s">
        <v>455</v>
      </c>
      <c r="C39" s="107" t="s">
        <v>117</v>
      </c>
      <c r="D39" s="133" t="s">
        <v>74</v>
      </c>
      <c r="E39" s="110" t="s">
        <v>7</v>
      </c>
      <c r="F39" s="119">
        <f>MemCalc2Q!M38</f>
        <v>9.176</v>
      </c>
      <c r="G39" s="294"/>
      <c r="H39" s="165">
        <f>(F39*G39)</f>
        <v>0</v>
      </c>
      <c r="I39" s="34"/>
    </row>
    <row r="40" spans="2:9" ht="30" customHeight="1">
      <c r="B40" s="115" t="s">
        <v>456</v>
      </c>
      <c r="C40" s="107"/>
      <c r="D40" s="155" t="s">
        <v>322</v>
      </c>
      <c r="E40" s="110" t="s">
        <v>7</v>
      </c>
      <c r="F40" s="119">
        <f>MemCalc2Q!M39</f>
        <v>6.882000000000001</v>
      </c>
      <c r="G40" s="294"/>
      <c r="H40" s="165">
        <f>(F40*G40)</f>
        <v>0</v>
      </c>
      <c r="I40" s="34"/>
    </row>
    <row r="41" spans="2:9" ht="15.75">
      <c r="B41" s="120"/>
      <c r="C41" s="121"/>
      <c r="D41" s="122"/>
      <c r="E41" s="123"/>
      <c r="F41" s="123"/>
      <c r="G41" s="123"/>
      <c r="H41" s="165"/>
      <c r="I41" s="34"/>
    </row>
    <row r="42" spans="2:9" ht="15.75">
      <c r="B42" s="150" t="s">
        <v>457</v>
      </c>
      <c r="C42" s="151"/>
      <c r="D42" s="152" t="s">
        <v>75</v>
      </c>
      <c r="E42" s="153"/>
      <c r="F42" s="153"/>
      <c r="G42" s="153"/>
      <c r="H42" s="164">
        <f>SUM(H43:H46)</f>
        <v>0</v>
      </c>
      <c r="I42" s="34"/>
    </row>
    <row r="43" spans="2:9" ht="15.75" customHeight="1">
      <c r="B43" s="106" t="s">
        <v>26</v>
      </c>
      <c r="C43" s="107" t="s">
        <v>119</v>
      </c>
      <c r="D43" s="133" t="s">
        <v>118</v>
      </c>
      <c r="E43" s="110" t="s">
        <v>7</v>
      </c>
      <c r="F43" s="32">
        <f>MemCalc2Q!M44</f>
        <v>3.0749999999999997</v>
      </c>
      <c r="G43" s="291"/>
      <c r="H43" s="165">
        <f>(F43*G43)</f>
        <v>0</v>
      </c>
      <c r="I43" s="34"/>
    </row>
    <row r="44" spans="2:9" ht="15.75" customHeight="1">
      <c r="B44" s="106" t="s">
        <v>28</v>
      </c>
      <c r="C44" s="107" t="s">
        <v>120</v>
      </c>
      <c r="D44" s="133" t="s">
        <v>415</v>
      </c>
      <c r="E44" s="110" t="s">
        <v>37</v>
      </c>
      <c r="F44" s="32">
        <f>MemCalc2Q!M43</f>
        <v>26.2</v>
      </c>
      <c r="G44" s="291"/>
      <c r="H44" s="165">
        <f>(F44*G44)</f>
        <v>0</v>
      </c>
      <c r="I44" s="34"/>
    </row>
    <row r="45" spans="2:9" ht="30" customHeight="1">
      <c r="B45" s="106" t="s">
        <v>458</v>
      </c>
      <c r="C45" s="107" t="s">
        <v>121</v>
      </c>
      <c r="D45" s="133" t="s">
        <v>426</v>
      </c>
      <c r="E45" s="110" t="s">
        <v>7</v>
      </c>
      <c r="F45" s="32">
        <f>MemCalc2Q!M45</f>
        <v>6.882000000000001</v>
      </c>
      <c r="G45" s="291"/>
      <c r="H45" s="165">
        <f>(F45*G45)</f>
        <v>0</v>
      </c>
      <c r="I45" s="34"/>
    </row>
    <row r="46" spans="2:9" ht="31.5" customHeight="1">
      <c r="B46" s="106" t="s">
        <v>459</v>
      </c>
      <c r="C46" s="107" t="s">
        <v>525</v>
      </c>
      <c r="D46" s="155" t="s">
        <v>526</v>
      </c>
      <c r="E46" s="110" t="s">
        <v>237</v>
      </c>
      <c r="F46" s="32">
        <f>MemCalc2Q!M42</f>
        <v>45.88</v>
      </c>
      <c r="G46" s="291"/>
      <c r="H46" s="165">
        <f>(F46*G46)</f>
        <v>0</v>
      </c>
      <c r="I46" s="34"/>
    </row>
    <row r="47" spans="2:9" ht="15.75">
      <c r="B47" s="106"/>
      <c r="C47" s="107"/>
      <c r="D47" s="108"/>
      <c r="E47" s="110"/>
      <c r="F47" s="32"/>
      <c r="G47" s="32"/>
      <c r="H47" s="165"/>
      <c r="I47" s="34"/>
    </row>
    <row r="48" spans="2:9" ht="15.75" customHeight="1">
      <c r="B48" s="150" t="s">
        <v>460</v>
      </c>
      <c r="C48" s="151"/>
      <c r="D48" s="152" t="s">
        <v>30</v>
      </c>
      <c r="E48" s="153"/>
      <c r="F48" s="153"/>
      <c r="G48" s="153"/>
      <c r="H48" s="164">
        <f>SUM(H49)</f>
        <v>0</v>
      </c>
      <c r="I48" s="34"/>
    </row>
    <row r="49" spans="2:9" ht="30" customHeight="1">
      <c r="B49" s="106" t="s">
        <v>29</v>
      </c>
      <c r="C49" s="107" t="s">
        <v>514</v>
      </c>
      <c r="D49" s="133" t="s">
        <v>427</v>
      </c>
      <c r="E49" s="110" t="s">
        <v>7</v>
      </c>
      <c r="F49" s="32">
        <f>MemCalc2Q!M48</f>
        <v>114.12960000000002</v>
      </c>
      <c r="G49" s="291"/>
      <c r="H49" s="165">
        <f>(F49*G49)</f>
        <v>0</v>
      </c>
      <c r="I49" s="34"/>
    </row>
    <row r="50" spans="2:9" ht="15.75">
      <c r="B50" s="120"/>
      <c r="C50" s="121"/>
      <c r="D50" s="122"/>
      <c r="E50" s="123"/>
      <c r="F50" s="123"/>
      <c r="G50" s="123"/>
      <c r="H50" s="165"/>
      <c r="I50" s="34"/>
    </row>
    <row r="51" spans="2:9" ht="15.75">
      <c r="B51" s="150" t="s">
        <v>461</v>
      </c>
      <c r="C51" s="151"/>
      <c r="D51" s="152" t="s">
        <v>32</v>
      </c>
      <c r="E51" s="153"/>
      <c r="F51" s="153"/>
      <c r="G51" s="153"/>
      <c r="H51" s="164">
        <f>SUM(H52:H55)</f>
        <v>0</v>
      </c>
      <c r="I51" s="34"/>
    </row>
    <row r="52" spans="2:9" ht="15.75">
      <c r="B52" s="124" t="s">
        <v>31</v>
      </c>
      <c r="C52" s="125">
        <v>72077</v>
      </c>
      <c r="D52" s="133" t="s">
        <v>76</v>
      </c>
      <c r="E52" s="110" t="s">
        <v>7</v>
      </c>
      <c r="F52" s="32">
        <f>MemCalc2Q!M52</f>
        <v>59.38919999999999</v>
      </c>
      <c r="G52" s="291"/>
      <c r="H52" s="165">
        <f t="shared" si="0"/>
        <v>0</v>
      </c>
      <c r="I52" s="34"/>
    </row>
    <row r="53" spans="2:9" ht="15.75">
      <c r="B53" s="124" t="s">
        <v>462</v>
      </c>
      <c r="C53" s="107" t="s">
        <v>122</v>
      </c>
      <c r="D53" s="133" t="s">
        <v>35</v>
      </c>
      <c r="E53" s="110" t="s">
        <v>7</v>
      </c>
      <c r="F53" s="32">
        <f>MemCalc2Q!M51</f>
        <v>59.38919999999999</v>
      </c>
      <c r="G53" s="291"/>
      <c r="H53" s="165">
        <f t="shared" si="0"/>
        <v>0</v>
      </c>
      <c r="I53" s="34"/>
    </row>
    <row r="54" spans="2:9" ht="15.75">
      <c r="B54" s="124" t="s">
        <v>463</v>
      </c>
      <c r="C54" s="107">
        <v>6058</v>
      </c>
      <c r="D54" s="133" t="s">
        <v>77</v>
      </c>
      <c r="E54" s="110" t="s">
        <v>37</v>
      </c>
      <c r="F54" s="32">
        <f>MemCalc2Q!G10</f>
        <v>8.46</v>
      </c>
      <c r="G54" s="291"/>
      <c r="H54" s="165">
        <f>(F54*G54)</f>
        <v>0</v>
      </c>
      <c r="I54" s="34"/>
    </row>
    <row r="55" spans="2:9" ht="15.75">
      <c r="B55" s="124" t="s">
        <v>464</v>
      </c>
      <c r="C55" s="125" t="s">
        <v>123</v>
      </c>
      <c r="D55" s="133" t="s">
        <v>39</v>
      </c>
      <c r="E55" s="110" t="s">
        <v>37</v>
      </c>
      <c r="F55" s="32">
        <f>8.46*2+(5.95+0.9)*2</f>
        <v>30.620000000000005</v>
      </c>
      <c r="G55" s="291"/>
      <c r="H55" s="165">
        <f>(F55*G55)</f>
        <v>0</v>
      </c>
      <c r="I55" s="34"/>
    </row>
    <row r="56" spans="2:9" ht="15.75">
      <c r="B56" s="120"/>
      <c r="C56" s="121"/>
      <c r="D56" s="122"/>
      <c r="E56" s="123"/>
      <c r="F56" s="123"/>
      <c r="G56" s="123"/>
      <c r="H56" s="165"/>
      <c r="I56" s="34"/>
    </row>
    <row r="57" spans="2:9" ht="15.75">
      <c r="B57" s="150" t="s">
        <v>465</v>
      </c>
      <c r="C57" s="151"/>
      <c r="D57" s="152" t="s">
        <v>40</v>
      </c>
      <c r="E57" s="153"/>
      <c r="F57" s="153"/>
      <c r="G57" s="153"/>
      <c r="H57" s="164">
        <f>SUM(H58:H71)</f>
        <v>0</v>
      </c>
      <c r="I57" s="34"/>
    </row>
    <row r="58" spans="2:9" ht="15.75" customHeight="1">
      <c r="B58" s="111" t="s">
        <v>33</v>
      </c>
      <c r="C58" s="125" t="s">
        <v>515</v>
      </c>
      <c r="D58" s="133" t="s">
        <v>497</v>
      </c>
      <c r="E58" s="110" t="s">
        <v>13</v>
      </c>
      <c r="F58" s="126">
        <f>MemCalc2Q!M55</f>
        <v>1</v>
      </c>
      <c r="G58" s="295"/>
      <c r="H58" s="165">
        <f t="shared" si="0"/>
        <v>0</v>
      </c>
      <c r="I58" s="34"/>
    </row>
    <row r="59" spans="2:9" ht="15.75">
      <c r="B59" s="111" t="s">
        <v>34</v>
      </c>
      <c r="C59" s="125">
        <v>83440</v>
      </c>
      <c r="D59" s="133" t="s">
        <v>156</v>
      </c>
      <c r="E59" s="110" t="s">
        <v>13</v>
      </c>
      <c r="F59" s="126">
        <f>MemCalc2Q!M65</f>
        <v>20</v>
      </c>
      <c r="G59" s="295"/>
      <c r="H59" s="165">
        <f t="shared" si="0"/>
        <v>0</v>
      </c>
      <c r="I59" s="34"/>
    </row>
    <row r="60" spans="2:9" ht="15.75">
      <c r="B60" s="111" t="s">
        <v>36</v>
      </c>
      <c r="C60" s="125">
        <v>72934</v>
      </c>
      <c r="D60" s="113" t="s">
        <v>124</v>
      </c>
      <c r="E60" s="127" t="s">
        <v>37</v>
      </c>
      <c r="F60" s="126">
        <f>MemCalc2Q!M60</f>
        <v>31.619999999999997</v>
      </c>
      <c r="G60" s="295"/>
      <c r="H60" s="165">
        <f t="shared" si="0"/>
        <v>0</v>
      </c>
      <c r="I60" s="34"/>
    </row>
    <row r="61" spans="2:9" ht="15.75">
      <c r="B61" s="111" t="s">
        <v>38</v>
      </c>
      <c r="C61" s="125" t="s">
        <v>125</v>
      </c>
      <c r="D61" s="113" t="s">
        <v>428</v>
      </c>
      <c r="E61" s="127" t="s">
        <v>37</v>
      </c>
      <c r="F61" s="126">
        <f>MemCalc2Q!M56</f>
        <v>123.24</v>
      </c>
      <c r="G61" s="295"/>
      <c r="H61" s="165">
        <f t="shared" si="0"/>
        <v>0</v>
      </c>
      <c r="I61" s="34"/>
    </row>
    <row r="62" spans="2:9" ht="15.75">
      <c r="B62" s="111" t="s">
        <v>466</v>
      </c>
      <c r="C62" s="125" t="s">
        <v>126</v>
      </c>
      <c r="D62" s="113" t="s">
        <v>127</v>
      </c>
      <c r="E62" s="127" t="s">
        <v>37</v>
      </c>
      <c r="F62" s="126">
        <f>MemCalc2Q!M57</f>
        <v>12</v>
      </c>
      <c r="G62" s="295"/>
      <c r="H62" s="165">
        <f t="shared" si="0"/>
        <v>0</v>
      </c>
      <c r="I62" s="34"/>
    </row>
    <row r="63" spans="2:9" ht="15.75">
      <c r="B63" s="111" t="s">
        <v>467</v>
      </c>
      <c r="C63" s="125" t="s">
        <v>128</v>
      </c>
      <c r="D63" s="113" t="s">
        <v>79</v>
      </c>
      <c r="E63" s="127" t="s">
        <v>85</v>
      </c>
      <c r="F63" s="126">
        <f>MemCalc2Q!M58</f>
        <v>2</v>
      </c>
      <c r="G63" s="295"/>
      <c r="H63" s="165">
        <f t="shared" si="0"/>
        <v>0</v>
      </c>
      <c r="I63" s="34"/>
    </row>
    <row r="64" spans="2:9" ht="15.75">
      <c r="B64" s="111" t="s">
        <v>468</v>
      </c>
      <c r="C64" s="125" t="s">
        <v>128</v>
      </c>
      <c r="D64" s="113" t="s">
        <v>81</v>
      </c>
      <c r="E64" s="127" t="s">
        <v>85</v>
      </c>
      <c r="F64" s="126">
        <f>MemCalc2Q!M59</f>
        <v>1</v>
      </c>
      <c r="G64" s="295"/>
      <c r="H64" s="165">
        <f t="shared" si="0"/>
        <v>0</v>
      </c>
      <c r="I64" s="34"/>
    </row>
    <row r="65" spans="2:9" ht="15.75">
      <c r="B65" s="111" t="s">
        <v>469</v>
      </c>
      <c r="C65" s="125">
        <v>72331</v>
      </c>
      <c r="D65" s="113" t="s">
        <v>157</v>
      </c>
      <c r="E65" s="127" t="s">
        <v>85</v>
      </c>
      <c r="F65" s="126">
        <v>3</v>
      </c>
      <c r="G65" s="295"/>
      <c r="H65" s="165">
        <f t="shared" si="0"/>
        <v>0</v>
      </c>
      <c r="I65" s="34"/>
    </row>
    <row r="66" spans="2:9" ht="15.75">
      <c r="B66" s="111" t="s">
        <v>470</v>
      </c>
      <c r="C66" s="125">
        <v>75228</v>
      </c>
      <c r="D66" s="113" t="s">
        <v>159</v>
      </c>
      <c r="E66" s="127" t="s">
        <v>85</v>
      </c>
      <c r="F66" s="126">
        <v>6</v>
      </c>
      <c r="G66" s="295"/>
      <c r="H66" s="165">
        <f t="shared" si="0"/>
        <v>0</v>
      </c>
      <c r="I66" s="34"/>
    </row>
    <row r="67" spans="2:9" ht="15.75">
      <c r="B67" s="111" t="s">
        <v>471</v>
      </c>
      <c r="C67" s="125">
        <v>72339</v>
      </c>
      <c r="D67" s="113" t="s">
        <v>160</v>
      </c>
      <c r="E67" s="127" t="s">
        <v>85</v>
      </c>
      <c r="F67" s="126">
        <v>1</v>
      </c>
      <c r="G67" s="295"/>
      <c r="H67" s="165">
        <f t="shared" si="0"/>
        <v>0</v>
      </c>
      <c r="I67" s="34"/>
    </row>
    <row r="68" spans="2:9" ht="15.75">
      <c r="B68" s="111" t="s">
        <v>472</v>
      </c>
      <c r="C68" s="125">
        <v>72334</v>
      </c>
      <c r="D68" s="113" t="s">
        <v>83</v>
      </c>
      <c r="E68" s="127" t="s">
        <v>85</v>
      </c>
      <c r="F68" s="126">
        <v>3</v>
      </c>
      <c r="G68" s="295"/>
      <c r="H68" s="165">
        <f t="shared" si="0"/>
        <v>0</v>
      </c>
      <c r="I68" s="34"/>
    </row>
    <row r="69" spans="2:9" ht="15.75">
      <c r="B69" s="111" t="s">
        <v>473</v>
      </c>
      <c r="C69" s="125">
        <v>72335</v>
      </c>
      <c r="D69" s="113" t="s">
        <v>155</v>
      </c>
      <c r="E69" s="127" t="s">
        <v>85</v>
      </c>
      <c r="F69" s="126">
        <f>F68+F67+F66+F65</f>
        <v>13</v>
      </c>
      <c r="G69" s="295"/>
      <c r="H69" s="165">
        <f t="shared" si="0"/>
        <v>0</v>
      </c>
      <c r="I69" s="34"/>
    </row>
    <row r="70" spans="2:9" ht="15.75">
      <c r="B70" s="111" t="s">
        <v>474</v>
      </c>
      <c r="C70" s="125">
        <v>72273</v>
      </c>
      <c r="D70" s="155" t="s">
        <v>527</v>
      </c>
      <c r="E70" s="127" t="s">
        <v>85</v>
      </c>
      <c r="F70" s="126">
        <f>MemCalc2Q!M63</f>
        <v>6</v>
      </c>
      <c r="G70" s="295"/>
      <c r="H70" s="165">
        <f t="shared" si="0"/>
        <v>0</v>
      </c>
      <c r="I70" s="34"/>
    </row>
    <row r="71" spans="2:9" ht="15.75">
      <c r="B71" s="111" t="s">
        <v>475</v>
      </c>
      <c r="C71" s="125"/>
      <c r="D71" s="155" t="s">
        <v>357</v>
      </c>
      <c r="E71" s="127" t="s">
        <v>85</v>
      </c>
      <c r="F71" s="126">
        <f>MemCalc2Q!M62</f>
        <v>30</v>
      </c>
      <c r="G71" s="295"/>
      <c r="H71" s="165">
        <f t="shared" si="0"/>
        <v>0</v>
      </c>
      <c r="I71" s="34"/>
    </row>
    <row r="72" spans="2:9" ht="15.75">
      <c r="B72" s="128"/>
      <c r="C72" s="129"/>
      <c r="D72" s="130"/>
      <c r="E72" s="114"/>
      <c r="F72" s="114"/>
      <c r="G72" s="114"/>
      <c r="H72" s="165"/>
      <c r="I72" s="34"/>
    </row>
    <row r="73" spans="2:10" ht="15.75">
      <c r="B73" s="150" t="s">
        <v>41</v>
      </c>
      <c r="C73" s="151"/>
      <c r="D73" s="152" t="s">
        <v>182</v>
      </c>
      <c r="E73" s="153"/>
      <c r="F73" s="153"/>
      <c r="G73" s="153"/>
      <c r="H73" s="164">
        <f>SUM(H74:H79)</f>
        <v>0</v>
      </c>
      <c r="I73" s="34"/>
      <c r="J73" s="97"/>
    </row>
    <row r="74" spans="2:9" ht="45" customHeight="1">
      <c r="B74" s="124" t="s">
        <v>477</v>
      </c>
      <c r="C74" s="125" t="s">
        <v>133</v>
      </c>
      <c r="D74" s="133" t="s">
        <v>48</v>
      </c>
      <c r="E74" s="132" t="s">
        <v>13</v>
      </c>
      <c r="F74" s="119">
        <v>5</v>
      </c>
      <c r="G74" s="294"/>
      <c r="H74" s="165">
        <f aca="true" t="shared" si="1" ref="H74:H79">(F74*G74)</f>
        <v>0</v>
      </c>
      <c r="I74" s="34"/>
    </row>
    <row r="75" spans="2:9" ht="30" customHeight="1">
      <c r="B75" s="124" t="s">
        <v>478</v>
      </c>
      <c r="C75" s="125" t="s">
        <v>145</v>
      </c>
      <c r="D75" s="156" t="s">
        <v>105</v>
      </c>
      <c r="E75" s="132" t="s">
        <v>13</v>
      </c>
      <c r="F75" s="132">
        <v>1</v>
      </c>
      <c r="G75" s="296"/>
      <c r="H75" s="165">
        <f t="shared" si="1"/>
        <v>0</v>
      </c>
      <c r="I75" s="34"/>
    </row>
    <row r="76" spans="2:9" ht="45" customHeight="1">
      <c r="B76" s="124" t="s">
        <v>479</v>
      </c>
      <c r="C76" s="125" t="s">
        <v>145</v>
      </c>
      <c r="D76" s="156" t="s">
        <v>476</v>
      </c>
      <c r="E76" s="132" t="s">
        <v>13</v>
      </c>
      <c r="F76" s="132">
        <v>1</v>
      </c>
      <c r="G76" s="296"/>
      <c r="H76" s="165">
        <f t="shared" si="1"/>
        <v>0</v>
      </c>
      <c r="I76" s="34"/>
    </row>
    <row r="77" spans="2:9" ht="15.75" customHeight="1">
      <c r="B77" s="124" t="s">
        <v>480</v>
      </c>
      <c r="C77" s="125" t="s">
        <v>511</v>
      </c>
      <c r="D77" s="159" t="s">
        <v>373</v>
      </c>
      <c r="E77" s="132" t="s">
        <v>13</v>
      </c>
      <c r="F77" s="132">
        <f>MemCalc2Q!M75</f>
        <v>1</v>
      </c>
      <c r="G77" s="296"/>
      <c r="H77" s="165">
        <f t="shared" si="1"/>
        <v>0</v>
      </c>
      <c r="I77" s="34"/>
    </row>
    <row r="78" spans="2:9" ht="15.75" customHeight="1">
      <c r="B78" s="124" t="s">
        <v>481</v>
      </c>
      <c r="C78" s="125" t="s">
        <v>507</v>
      </c>
      <c r="D78" s="159" t="s">
        <v>374</v>
      </c>
      <c r="E78" s="132" t="s">
        <v>13</v>
      </c>
      <c r="F78" s="132">
        <f>MemCalc2Q!M76</f>
        <v>1</v>
      </c>
      <c r="G78" s="296"/>
      <c r="H78" s="165">
        <f t="shared" si="1"/>
        <v>0</v>
      </c>
      <c r="I78" s="34"/>
    </row>
    <row r="79" spans="2:9" ht="15.75" customHeight="1">
      <c r="B79" s="124" t="s">
        <v>482</v>
      </c>
      <c r="C79" s="125" t="s">
        <v>512</v>
      </c>
      <c r="D79" s="159" t="s">
        <v>375</v>
      </c>
      <c r="E79" s="132" t="s">
        <v>13</v>
      </c>
      <c r="F79" s="132">
        <f>MemCalc2Q!M77</f>
        <v>1</v>
      </c>
      <c r="G79" s="296"/>
      <c r="H79" s="165">
        <f t="shared" si="1"/>
        <v>0</v>
      </c>
      <c r="I79" s="34"/>
    </row>
    <row r="80" spans="2:9" ht="17.25" customHeight="1">
      <c r="B80" s="124"/>
      <c r="C80" s="125"/>
      <c r="D80" s="98"/>
      <c r="E80" s="132"/>
      <c r="F80" s="132"/>
      <c r="G80" s="132"/>
      <c r="H80" s="165"/>
      <c r="I80" s="34"/>
    </row>
    <row r="81" spans="2:9" ht="15.75">
      <c r="B81" s="150" t="s">
        <v>42</v>
      </c>
      <c r="C81" s="151"/>
      <c r="D81" s="152" t="s">
        <v>50</v>
      </c>
      <c r="E81" s="153"/>
      <c r="F81" s="153"/>
      <c r="G81" s="153"/>
      <c r="H81" s="164">
        <f>SUM(H82:H87)</f>
        <v>0</v>
      </c>
      <c r="I81" s="34"/>
    </row>
    <row r="82" spans="2:9" ht="25.5">
      <c r="B82" s="124" t="s">
        <v>483</v>
      </c>
      <c r="C82" s="125" t="s">
        <v>134</v>
      </c>
      <c r="D82" s="156" t="s">
        <v>135</v>
      </c>
      <c r="E82" s="132" t="s">
        <v>13</v>
      </c>
      <c r="F82" s="132">
        <v>1</v>
      </c>
      <c r="G82" s="296"/>
      <c r="H82" s="165">
        <f>(F82*G82)</f>
        <v>0</v>
      </c>
      <c r="I82" s="34"/>
    </row>
    <row r="83" spans="2:9" ht="15.75">
      <c r="B83" s="124" t="s">
        <v>484</v>
      </c>
      <c r="C83" s="125">
        <v>6024</v>
      </c>
      <c r="D83" s="156" t="s">
        <v>87</v>
      </c>
      <c r="E83" s="132" t="s">
        <v>85</v>
      </c>
      <c r="F83" s="132">
        <f>MemCalc2Q!M78</f>
        <v>1</v>
      </c>
      <c r="G83" s="296"/>
      <c r="H83" s="165">
        <f>(F83*G83)</f>
        <v>0</v>
      </c>
      <c r="I83" s="34"/>
    </row>
    <row r="84" spans="2:9" ht="15.75">
      <c r="B84" s="124" t="s">
        <v>485</v>
      </c>
      <c r="C84" s="125" t="s">
        <v>136</v>
      </c>
      <c r="D84" s="156" t="s">
        <v>90</v>
      </c>
      <c r="E84" s="132" t="s">
        <v>13</v>
      </c>
      <c r="F84" s="132">
        <f>MemCalc2Q!M74</f>
        <v>1</v>
      </c>
      <c r="G84" s="296"/>
      <c r="H84" s="165">
        <f>(F84*G84)</f>
        <v>0</v>
      </c>
      <c r="I84" s="34"/>
    </row>
    <row r="85" spans="2:9" ht="15.75">
      <c r="B85" s="124" t="s">
        <v>486</v>
      </c>
      <c r="C85" s="125">
        <v>40777</v>
      </c>
      <c r="D85" s="113" t="s">
        <v>91</v>
      </c>
      <c r="E85" s="132" t="s">
        <v>13</v>
      </c>
      <c r="F85" s="132">
        <f>MemCalc2Q!M73</f>
        <v>1</v>
      </c>
      <c r="G85" s="297"/>
      <c r="H85" s="165">
        <f>(F85*G85)</f>
        <v>0</v>
      </c>
      <c r="I85" s="34"/>
    </row>
    <row r="86" spans="2:9" ht="51">
      <c r="B86" s="124" t="s">
        <v>523</v>
      </c>
      <c r="C86" s="125" t="s">
        <v>522</v>
      </c>
      <c r="D86" s="133" t="s">
        <v>521</v>
      </c>
      <c r="E86" s="132" t="s">
        <v>85</v>
      </c>
      <c r="F86" s="132">
        <v>3</v>
      </c>
      <c r="G86" s="297"/>
      <c r="H86" s="165">
        <f>(F86*G86)</f>
        <v>0</v>
      </c>
      <c r="I86" s="34"/>
    </row>
    <row r="87" spans="2:9" ht="15.75">
      <c r="B87" s="124"/>
      <c r="C87" s="125"/>
      <c r="D87" s="113"/>
      <c r="E87" s="132"/>
      <c r="F87" s="132"/>
      <c r="G87" s="114"/>
      <c r="H87" s="165"/>
      <c r="I87" s="34"/>
    </row>
    <row r="88" spans="2:9" ht="15.75">
      <c r="B88" s="150" t="s">
        <v>43</v>
      </c>
      <c r="C88" s="151"/>
      <c r="D88" s="152" t="s">
        <v>54</v>
      </c>
      <c r="E88" s="153"/>
      <c r="F88" s="153"/>
      <c r="G88" s="153"/>
      <c r="H88" s="164">
        <f>H89</f>
        <v>0</v>
      </c>
      <c r="I88" s="34"/>
    </row>
    <row r="89" spans="2:9" ht="45" customHeight="1">
      <c r="B89" s="111" t="s">
        <v>493</v>
      </c>
      <c r="C89" s="125" t="s">
        <v>144</v>
      </c>
      <c r="D89" s="156" t="s">
        <v>558</v>
      </c>
      <c r="E89" s="132" t="s">
        <v>85</v>
      </c>
      <c r="F89" s="132">
        <f>MemCalc2Q!M80</f>
        <v>1</v>
      </c>
      <c r="G89" s="296"/>
      <c r="H89" s="166">
        <f>(F89*G89)</f>
        <v>0</v>
      </c>
      <c r="I89" s="34"/>
    </row>
    <row r="90" spans="2:9" ht="15.75">
      <c r="B90" s="111"/>
      <c r="C90" s="125"/>
      <c r="D90" s="98"/>
      <c r="E90" s="132"/>
      <c r="F90" s="132"/>
      <c r="G90" s="132"/>
      <c r="H90" s="166"/>
      <c r="I90" s="34"/>
    </row>
    <row r="91" spans="2:9" ht="15.75">
      <c r="B91" s="150" t="s">
        <v>44</v>
      </c>
      <c r="C91" s="151"/>
      <c r="D91" s="152" t="s">
        <v>53</v>
      </c>
      <c r="E91" s="153"/>
      <c r="F91" s="153"/>
      <c r="G91" s="153"/>
      <c r="H91" s="164">
        <f>H92+H93</f>
        <v>0</v>
      </c>
      <c r="I91" s="34"/>
    </row>
    <row r="92" spans="2:9" ht="45" customHeight="1">
      <c r="B92" s="111" t="s">
        <v>494</v>
      </c>
      <c r="C92" s="125" t="s">
        <v>146</v>
      </c>
      <c r="D92" s="156" t="s">
        <v>557</v>
      </c>
      <c r="E92" s="132" t="s">
        <v>85</v>
      </c>
      <c r="F92" s="132">
        <f>MemCalc2Q!M81</f>
        <v>1</v>
      </c>
      <c r="G92" s="298"/>
      <c r="H92" s="165">
        <f>(F92*G92)</f>
        <v>0</v>
      </c>
      <c r="I92" s="34"/>
    </row>
    <row r="93" spans="2:9" ht="25.5">
      <c r="B93" s="111" t="s">
        <v>524</v>
      </c>
      <c r="C93" s="125" t="s">
        <v>528</v>
      </c>
      <c r="D93" s="156" t="s">
        <v>423</v>
      </c>
      <c r="E93" s="132" t="s">
        <v>7</v>
      </c>
      <c r="F93" s="132">
        <f>MemCalc2Q!M82</f>
        <v>3.3981</v>
      </c>
      <c r="G93" s="298"/>
      <c r="H93" s="165">
        <f>(F93*G93)</f>
        <v>0</v>
      </c>
      <c r="I93" s="34"/>
    </row>
    <row r="94" spans="2:9" ht="15.75">
      <c r="B94" s="111"/>
      <c r="C94" s="112"/>
      <c r="D94" s="113"/>
      <c r="E94" s="114"/>
      <c r="F94" s="116"/>
      <c r="G94" s="116"/>
      <c r="H94" s="165"/>
      <c r="I94" s="34"/>
    </row>
    <row r="95" spans="2:9" ht="15.75">
      <c r="B95" s="150" t="s">
        <v>487</v>
      </c>
      <c r="C95" s="151"/>
      <c r="D95" s="152" t="s">
        <v>51</v>
      </c>
      <c r="E95" s="153"/>
      <c r="F95" s="153"/>
      <c r="G95" s="153"/>
      <c r="H95" s="164">
        <f>SUM(H96:H101)</f>
        <v>0</v>
      </c>
      <c r="I95" s="34"/>
    </row>
    <row r="96" spans="2:9" ht="30.75" customHeight="1">
      <c r="B96" s="111" t="s">
        <v>488</v>
      </c>
      <c r="C96" s="125">
        <v>6021</v>
      </c>
      <c r="D96" s="156" t="s">
        <v>531</v>
      </c>
      <c r="E96" s="132" t="s">
        <v>85</v>
      </c>
      <c r="F96" s="132">
        <v>1</v>
      </c>
      <c r="G96" s="296"/>
      <c r="H96" s="165">
        <f aca="true" t="shared" si="2" ref="H96:H101">(F96*G96)</f>
        <v>0</v>
      </c>
      <c r="I96" s="34"/>
    </row>
    <row r="97" spans="2:9" ht="29.25" customHeight="1">
      <c r="B97" s="111" t="s">
        <v>489</v>
      </c>
      <c r="C97" s="125" t="s">
        <v>530</v>
      </c>
      <c r="D97" s="156" t="s">
        <v>532</v>
      </c>
      <c r="E97" s="132" t="s">
        <v>85</v>
      </c>
      <c r="F97" s="132">
        <v>1</v>
      </c>
      <c r="G97" s="296"/>
      <c r="H97" s="165">
        <f t="shared" si="2"/>
        <v>0</v>
      </c>
      <c r="I97" s="34"/>
    </row>
    <row r="98" spans="2:9" ht="15.75" customHeight="1">
      <c r="B98" s="111" t="s">
        <v>490</v>
      </c>
      <c r="C98" s="125">
        <v>9535</v>
      </c>
      <c r="D98" s="156" t="s">
        <v>86</v>
      </c>
      <c r="E98" s="132" t="s">
        <v>84</v>
      </c>
      <c r="F98" s="132">
        <v>1</v>
      </c>
      <c r="G98" s="296"/>
      <c r="H98" s="165">
        <f t="shared" si="2"/>
        <v>0</v>
      </c>
      <c r="I98" s="34"/>
    </row>
    <row r="99" spans="2:9" ht="30" customHeight="1">
      <c r="B99" s="111" t="s">
        <v>491</v>
      </c>
      <c r="C99" s="125">
        <v>6009</v>
      </c>
      <c r="D99" s="156" t="s">
        <v>88</v>
      </c>
      <c r="E99" s="132" t="s">
        <v>85</v>
      </c>
      <c r="F99" s="132">
        <v>1</v>
      </c>
      <c r="G99" s="296"/>
      <c r="H99" s="165">
        <f t="shared" si="2"/>
        <v>0</v>
      </c>
      <c r="I99" s="34"/>
    </row>
    <row r="100" spans="2:9" ht="30" customHeight="1">
      <c r="B100" s="111" t="s">
        <v>492</v>
      </c>
      <c r="C100" s="125">
        <v>6043</v>
      </c>
      <c r="D100" s="156" t="s">
        <v>89</v>
      </c>
      <c r="E100" s="132" t="s">
        <v>13</v>
      </c>
      <c r="F100" s="132">
        <v>1</v>
      </c>
      <c r="G100" s="296"/>
      <c r="H100" s="165">
        <f t="shared" si="2"/>
        <v>0</v>
      </c>
      <c r="I100" s="34"/>
    </row>
    <row r="101" spans="2:9" ht="30" customHeight="1">
      <c r="B101" s="111" t="s">
        <v>533</v>
      </c>
      <c r="C101" s="125">
        <v>6049</v>
      </c>
      <c r="D101" s="156" t="s">
        <v>92</v>
      </c>
      <c r="E101" s="132" t="s">
        <v>13</v>
      </c>
      <c r="F101" s="132">
        <v>1</v>
      </c>
      <c r="G101" s="296"/>
      <c r="H101" s="165">
        <f t="shared" si="2"/>
        <v>0</v>
      </c>
      <c r="I101" s="34"/>
    </row>
    <row r="102" spans="2:9" ht="15.75">
      <c r="B102" s="111"/>
      <c r="C102" s="112"/>
      <c r="D102" s="113"/>
      <c r="E102" s="116"/>
      <c r="F102" s="114"/>
      <c r="G102" s="114"/>
      <c r="H102" s="165"/>
      <c r="I102" s="34"/>
    </row>
    <row r="103" spans="2:9" ht="15.75" customHeight="1">
      <c r="B103" s="150" t="s">
        <v>495</v>
      </c>
      <c r="C103" s="151"/>
      <c r="D103" s="152" t="s">
        <v>502</v>
      </c>
      <c r="E103" s="153"/>
      <c r="F103" s="153"/>
      <c r="G103" s="153"/>
      <c r="H103" s="164">
        <f>SUM(H104:H108)</f>
        <v>0</v>
      </c>
      <c r="I103" s="34"/>
    </row>
    <row r="104" spans="2:9" ht="15.75">
      <c r="B104" s="111" t="s">
        <v>387</v>
      </c>
      <c r="C104" s="125">
        <v>5974</v>
      </c>
      <c r="D104" s="156" t="s">
        <v>137</v>
      </c>
      <c r="E104" s="110" t="s">
        <v>7</v>
      </c>
      <c r="F104" s="32">
        <f>MemCalc2Q!M91</f>
        <v>228.25920000000005</v>
      </c>
      <c r="G104" s="291"/>
      <c r="H104" s="165">
        <f>(F104*G104)</f>
        <v>0</v>
      </c>
      <c r="I104" s="34"/>
    </row>
    <row r="105" spans="2:9" ht="25.5">
      <c r="B105" s="111" t="s">
        <v>52</v>
      </c>
      <c r="C105" s="125">
        <v>5995</v>
      </c>
      <c r="D105" s="156" t="s">
        <v>138</v>
      </c>
      <c r="E105" s="110" t="s">
        <v>7</v>
      </c>
      <c r="F105" s="32">
        <f>MemCalc2Q!M92</f>
        <v>228.25920000000005</v>
      </c>
      <c r="G105" s="291"/>
      <c r="H105" s="165">
        <f>(F105*G105)</f>
        <v>0</v>
      </c>
      <c r="I105" s="34"/>
    </row>
    <row r="106" spans="2:9" ht="38.25">
      <c r="B106" s="111" t="s">
        <v>390</v>
      </c>
      <c r="C106" s="125" t="s">
        <v>535</v>
      </c>
      <c r="D106" s="156" t="s">
        <v>534</v>
      </c>
      <c r="E106" s="110" t="s">
        <v>7</v>
      </c>
      <c r="F106" s="32">
        <f>MemCalc2Q!M93</f>
        <v>11.280000000000001</v>
      </c>
      <c r="G106" s="291"/>
      <c r="H106" s="165">
        <f>(F106*G106)</f>
        <v>0</v>
      </c>
      <c r="I106" s="34"/>
    </row>
    <row r="107" spans="2:9" ht="38.25">
      <c r="B107" s="111" t="s">
        <v>391</v>
      </c>
      <c r="C107" s="125" t="s">
        <v>535</v>
      </c>
      <c r="D107" s="156" t="s">
        <v>429</v>
      </c>
      <c r="E107" s="110" t="s">
        <v>7</v>
      </c>
      <c r="F107" s="32">
        <f>MemCalc2Q!M95</f>
        <v>2.88</v>
      </c>
      <c r="G107" s="291"/>
      <c r="H107" s="165">
        <f>(F107*G107)</f>
        <v>0</v>
      </c>
      <c r="I107" s="34"/>
    </row>
    <row r="108" spans="2:9" ht="15.75" customHeight="1">
      <c r="B108" s="111" t="s">
        <v>421</v>
      </c>
      <c r="C108" s="125" t="s">
        <v>139</v>
      </c>
      <c r="D108" s="156" t="s">
        <v>419</v>
      </c>
      <c r="E108" s="110" t="s">
        <v>7</v>
      </c>
      <c r="F108" s="32">
        <f>MemCalc2Q!M94</f>
        <v>20.256</v>
      </c>
      <c r="G108" s="292"/>
      <c r="H108" s="165">
        <f>(F108*G108)</f>
        <v>0</v>
      </c>
      <c r="I108" s="34"/>
    </row>
    <row r="109" spans="2:9" ht="15.75">
      <c r="B109" s="124"/>
      <c r="C109" s="125"/>
      <c r="D109" s="133"/>
      <c r="E109" s="109"/>
      <c r="F109" s="109"/>
      <c r="G109" s="109"/>
      <c r="H109" s="165"/>
      <c r="I109" s="34"/>
    </row>
    <row r="110" spans="2:9" ht="15.75">
      <c r="B110" s="150" t="s">
        <v>496</v>
      </c>
      <c r="C110" s="151"/>
      <c r="D110" s="152" t="s">
        <v>393</v>
      </c>
      <c r="E110" s="153"/>
      <c r="F110" s="153"/>
      <c r="G110" s="153"/>
      <c r="H110" s="164">
        <f>SUM(H111:H114)</f>
        <v>0</v>
      </c>
      <c r="I110" s="34"/>
    </row>
    <row r="111" spans="2:9" ht="15.75">
      <c r="B111" s="124" t="s">
        <v>394</v>
      </c>
      <c r="C111" s="134" t="s">
        <v>140</v>
      </c>
      <c r="D111" s="158" t="s">
        <v>56</v>
      </c>
      <c r="E111" s="117" t="s">
        <v>7</v>
      </c>
      <c r="F111" s="117">
        <f>MemCalc2Q!E33-(1.2*1.75)</f>
        <v>36.9375</v>
      </c>
      <c r="G111" s="293"/>
      <c r="H111" s="165">
        <f>(F111*G111)</f>
        <v>0</v>
      </c>
      <c r="I111" s="34"/>
    </row>
    <row r="112" spans="2:9" ht="15.75">
      <c r="B112" s="124" t="s">
        <v>396</v>
      </c>
      <c r="C112" s="134" t="s">
        <v>538</v>
      </c>
      <c r="D112" s="158" t="str">
        <f>'[5]MemCalc1Q'!C98</f>
        <v>Lastro de brita</v>
      </c>
      <c r="E112" s="117" t="s">
        <v>22</v>
      </c>
      <c r="F112" s="117">
        <f>MemCalc2Q!M98</f>
        <v>2.600325</v>
      </c>
      <c r="G112" s="293"/>
      <c r="H112" s="165"/>
      <c r="I112" s="34"/>
    </row>
    <row r="113" spans="2:12" ht="15" customHeight="1">
      <c r="B113" s="124" t="s">
        <v>397</v>
      </c>
      <c r="C113" s="135">
        <v>73406</v>
      </c>
      <c r="D113" s="156" t="s">
        <v>536</v>
      </c>
      <c r="E113" s="117" t="s">
        <v>22</v>
      </c>
      <c r="F113" s="117">
        <f>MemCalc2Q!M99</f>
        <v>1.846875</v>
      </c>
      <c r="G113" s="293"/>
      <c r="H113" s="165">
        <f>(F113*G113)</f>
        <v>0</v>
      </c>
      <c r="I113" s="34"/>
      <c r="L113" s="98" t="s">
        <v>411</v>
      </c>
    </row>
    <row r="114" spans="2:9" ht="25.5">
      <c r="B114" s="124" t="s">
        <v>539</v>
      </c>
      <c r="C114" s="135">
        <v>73406</v>
      </c>
      <c r="D114" s="156" t="s">
        <v>412</v>
      </c>
      <c r="E114" s="117" t="s">
        <v>7</v>
      </c>
      <c r="F114" s="117">
        <f>MemCalc2Q!M100</f>
        <v>15.069</v>
      </c>
      <c r="G114" s="293"/>
      <c r="H114" s="165">
        <f>(F114*G114)</f>
        <v>0</v>
      </c>
      <c r="I114" s="34"/>
    </row>
    <row r="115" spans="2:9" ht="15.75">
      <c r="B115" s="111"/>
      <c r="C115" s="136"/>
      <c r="D115" s="113"/>
      <c r="E115" s="109"/>
      <c r="F115" s="109"/>
      <c r="G115" s="109"/>
      <c r="H115" s="165"/>
      <c r="I115" s="34"/>
    </row>
    <row r="116" spans="2:9" ht="15.75">
      <c r="B116" s="150" t="s">
        <v>499</v>
      </c>
      <c r="C116" s="151"/>
      <c r="D116" s="152" t="s">
        <v>399</v>
      </c>
      <c r="E116" s="153"/>
      <c r="F116" s="153"/>
      <c r="G116" s="153"/>
      <c r="H116" s="164">
        <f>SUM(H117:H122)</f>
        <v>0</v>
      </c>
      <c r="I116" s="34"/>
    </row>
    <row r="117" spans="2:9" ht="15.75">
      <c r="B117" s="124" t="s">
        <v>400</v>
      </c>
      <c r="C117" s="135" t="s">
        <v>142</v>
      </c>
      <c r="D117" s="156" t="s">
        <v>60</v>
      </c>
      <c r="E117" s="110" t="s">
        <v>85</v>
      </c>
      <c r="F117" s="137">
        <f>MemCalc2Q!M104</f>
        <v>1</v>
      </c>
      <c r="G117" s="299"/>
      <c r="H117" s="165">
        <f aca="true" t="shared" si="3" ref="H117:H122">(F117*G117)</f>
        <v>0</v>
      </c>
      <c r="I117" s="34"/>
    </row>
    <row r="118" spans="2:9" ht="15.75">
      <c r="B118" s="124" t="s">
        <v>55</v>
      </c>
      <c r="C118" s="135" t="s">
        <v>142</v>
      </c>
      <c r="D118" s="156" t="s">
        <v>62</v>
      </c>
      <c r="E118" s="110" t="s">
        <v>85</v>
      </c>
      <c r="F118" s="117">
        <f>MemCalc2Q!M103</f>
        <v>4</v>
      </c>
      <c r="G118" s="293"/>
      <c r="H118" s="165">
        <f t="shared" si="3"/>
        <v>0</v>
      </c>
      <c r="I118" s="34"/>
    </row>
    <row r="119" spans="2:9" ht="25.5">
      <c r="B119" s="124" t="s">
        <v>57</v>
      </c>
      <c r="C119" s="135" t="s">
        <v>554</v>
      </c>
      <c r="D119" s="156" t="s">
        <v>555</v>
      </c>
      <c r="E119" s="110" t="s">
        <v>85</v>
      </c>
      <c r="F119" s="117">
        <f>MemCalc2Q!M103+MemCalc2Q!M104</f>
        <v>5</v>
      </c>
      <c r="G119" s="293"/>
      <c r="H119" s="165">
        <f t="shared" si="3"/>
        <v>0</v>
      </c>
      <c r="I119" s="34"/>
    </row>
    <row r="120" spans="2:9" ht="15.75">
      <c r="B120" s="124" t="s">
        <v>58</v>
      </c>
      <c r="C120" s="135" t="s">
        <v>559</v>
      </c>
      <c r="D120" s="156" t="s">
        <v>560</v>
      </c>
      <c r="E120" s="110" t="s">
        <v>85</v>
      </c>
      <c r="F120" s="117">
        <f>3*F119</f>
        <v>15</v>
      </c>
      <c r="G120" s="293"/>
      <c r="H120" s="165">
        <f t="shared" si="3"/>
        <v>0</v>
      </c>
      <c r="I120" s="34"/>
    </row>
    <row r="121" spans="2:9" ht="15.75">
      <c r="B121" s="124" t="s">
        <v>556</v>
      </c>
      <c r="C121" s="125" t="s">
        <v>562</v>
      </c>
      <c r="D121" s="156" t="s">
        <v>498</v>
      </c>
      <c r="E121" s="110" t="s">
        <v>7</v>
      </c>
      <c r="F121" s="132">
        <f>MemCalc2Q!E105</f>
        <v>6</v>
      </c>
      <c r="G121" s="296"/>
      <c r="H121" s="165">
        <f t="shared" si="3"/>
        <v>0</v>
      </c>
      <c r="I121" s="34"/>
    </row>
    <row r="122" spans="2:9" ht="15.75" customHeight="1">
      <c r="B122" s="124" t="s">
        <v>561</v>
      </c>
      <c r="C122" s="135">
        <v>6103</v>
      </c>
      <c r="D122" s="156" t="s">
        <v>158</v>
      </c>
      <c r="E122" s="110" t="s">
        <v>7</v>
      </c>
      <c r="F122" s="117">
        <f>MemCalc2Q!G105</f>
        <v>0.36</v>
      </c>
      <c r="G122" s="293"/>
      <c r="H122" s="165">
        <f t="shared" si="3"/>
        <v>0</v>
      </c>
      <c r="I122" s="34"/>
    </row>
    <row r="123" spans="2:9" ht="15.75">
      <c r="B123" s="111"/>
      <c r="C123" s="136"/>
      <c r="D123" s="98"/>
      <c r="E123" s="131"/>
      <c r="F123" s="117"/>
      <c r="G123" s="117"/>
      <c r="H123" s="165"/>
      <c r="I123" s="34"/>
    </row>
    <row r="124" spans="2:9" ht="15.75">
      <c r="B124" s="150" t="s">
        <v>500</v>
      </c>
      <c r="C124" s="151"/>
      <c r="D124" s="152" t="s">
        <v>63</v>
      </c>
      <c r="E124" s="153"/>
      <c r="F124" s="153"/>
      <c r="G124" s="153"/>
      <c r="H124" s="164">
        <f>SUM(H125:H126)</f>
        <v>0</v>
      </c>
      <c r="I124" s="34"/>
    </row>
    <row r="125" spans="2:9" ht="27.75" customHeight="1">
      <c r="B125" s="124" t="s">
        <v>59</v>
      </c>
      <c r="C125" s="135" t="s">
        <v>568</v>
      </c>
      <c r="D125" s="133" t="s">
        <v>103</v>
      </c>
      <c r="E125" s="110" t="s">
        <v>7</v>
      </c>
      <c r="F125" s="117">
        <f>MemCalc2Q!M108</f>
        <v>228.25920000000005</v>
      </c>
      <c r="G125" s="293"/>
      <c r="H125" s="165">
        <f>(F125*G125)</f>
        <v>0</v>
      </c>
      <c r="I125" s="34"/>
    </row>
    <row r="126" spans="2:9" ht="25.5">
      <c r="B126" s="124" t="s">
        <v>61</v>
      </c>
      <c r="C126" s="125" t="s">
        <v>141</v>
      </c>
      <c r="D126" s="156" t="s">
        <v>104</v>
      </c>
      <c r="E126" s="110" t="s">
        <v>7</v>
      </c>
      <c r="F126" s="32">
        <f>MemCalc2Q!M109</f>
        <v>36.68</v>
      </c>
      <c r="G126" s="291"/>
      <c r="H126" s="165">
        <f>(F126*G126)</f>
        <v>0</v>
      </c>
      <c r="I126" s="34"/>
    </row>
    <row r="127" spans="2:9" ht="15.75">
      <c r="B127" s="111"/>
      <c r="C127" s="136"/>
      <c r="D127" s="113"/>
      <c r="E127" s="114"/>
      <c r="F127" s="114"/>
      <c r="G127" s="114"/>
      <c r="H127" s="165"/>
      <c r="I127" s="34"/>
    </row>
    <row r="128" spans="2:9" ht="15.75">
      <c r="B128" s="150" t="s">
        <v>501</v>
      </c>
      <c r="C128" s="151"/>
      <c r="D128" s="152" t="s">
        <v>403</v>
      </c>
      <c r="E128" s="153"/>
      <c r="F128" s="153"/>
      <c r="G128" s="153"/>
      <c r="H128" s="164">
        <f>SUM(H129:H132)</f>
        <v>0</v>
      </c>
      <c r="I128" s="34"/>
    </row>
    <row r="129" spans="2:9" ht="15.75">
      <c r="B129" s="111" t="s">
        <v>64</v>
      </c>
      <c r="C129" s="136"/>
      <c r="D129" s="155" t="s">
        <v>404</v>
      </c>
      <c r="E129" s="110" t="s">
        <v>22</v>
      </c>
      <c r="F129" s="32">
        <f>MemCalc2Q!M112</f>
        <v>0.3</v>
      </c>
      <c r="G129" s="297"/>
      <c r="H129" s="165">
        <f>F129*G129</f>
        <v>0</v>
      </c>
      <c r="I129" s="34"/>
    </row>
    <row r="130" spans="2:9" ht="15.75">
      <c r="B130" s="111" t="s">
        <v>65</v>
      </c>
      <c r="C130" s="136"/>
      <c r="D130" s="155" t="s">
        <v>405</v>
      </c>
      <c r="E130" s="110" t="s">
        <v>22</v>
      </c>
      <c r="F130" s="32">
        <f>MemCalc2Q!M113</f>
        <v>0.147</v>
      </c>
      <c r="G130" s="297"/>
      <c r="H130" s="165">
        <f>F130*G130</f>
        <v>0</v>
      </c>
      <c r="I130" s="34"/>
    </row>
    <row r="131" spans="2:9" ht="25.5">
      <c r="B131" s="111" t="s">
        <v>406</v>
      </c>
      <c r="C131" s="136"/>
      <c r="D131" s="155" t="s">
        <v>407</v>
      </c>
      <c r="E131" s="110" t="s">
        <v>85</v>
      </c>
      <c r="F131" s="32">
        <f>MemCalc2Q!M114</f>
        <v>1</v>
      </c>
      <c r="G131" s="297"/>
      <c r="H131" s="165">
        <f>F131*G131</f>
        <v>0</v>
      </c>
      <c r="I131" s="34"/>
    </row>
    <row r="132" spans="2:9" ht="51">
      <c r="B132" s="111" t="s">
        <v>408</v>
      </c>
      <c r="C132" s="136"/>
      <c r="D132" s="159" t="s">
        <v>425</v>
      </c>
      <c r="E132" s="110" t="s">
        <v>85</v>
      </c>
      <c r="F132" s="32">
        <f>MemCalc2Q!M115</f>
        <v>1</v>
      </c>
      <c r="G132" s="297"/>
      <c r="H132" s="165">
        <f>F132*G132</f>
        <v>0</v>
      </c>
      <c r="I132" s="34"/>
    </row>
    <row r="133" spans="2:9" ht="15.75">
      <c r="B133" s="111"/>
      <c r="C133" s="136"/>
      <c r="D133" s="113"/>
      <c r="E133" s="114"/>
      <c r="F133" s="114"/>
      <c r="G133" s="114"/>
      <c r="H133" s="165"/>
      <c r="I133" s="34"/>
    </row>
    <row r="134" spans="2:9" ht="15.75">
      <c r="B134" s="150" t="s">
        <v>503</v>
      </c>
      <c r="C134" s="151"/>
      <c r="D134" s="152" t="s">
        <v>66</v>
      </c>
      <c r="E134" s="153"/>
      <c r="F134" s="153"/>
      <c r="G134" s="153"/>
      <c r="H134" s="164">
        <f>H135</f>
        <v>0</v>
      </c>
      <c r="I134" s="34"/>
    </row>
    <row r="135" spans="2:9" ht="15.75">
      <c r="B135" s="111" t="s">
        <v>67</v>
      </c>
      <c r="C135" s="135">
        <v>9537</v>
      </c>
      <c r="D135" s="133" t="s">
        <v>68</v>
      </c>
      <c r="E135" s="110" t="s">
        <v>7</v>
      </c>
      <c r="F135" s="32">
        <f>MemCalc2Q!M118</f>
        <v>44.982</v>
      </c>
      <c r="G135" s="300"/>
      <c r="H135" s="165">
        <f>(F135*G135)</f>
        <v>0</v>
      </c>
      <c r="I135" s="34"/>
    </row>
    <row r="136" spans="2:9" ht="15.75">
      <c r="B136" s="111"/>
      <c r="C136" s="136"/>
      <c r="D136" s="113"/>
      <c r="E136" s="114"/>
      <c r="F136" s="114"/>
      <c r="G136" s="114"/>
      <c r="H136" s="167"/>
      <c r="I136" s="34"/>
    </row>
    <row r="137" spans="2:9" ht="15.75" customHeight="1">
      <c r="B137" s="150" t="s">
        <v>504</v>
      </c>
      <c r="C137" s="151"/>
      <c r="D137" s="152" t="s">
        <v>69</v>
      </c>
      <c r="E137" s="153"/>
      <c r="F137" s="153"/>
      <c r="G137" s="153"/>
      <c r="H137" s="164">
        <f>H10+H14+H18+H32+H36+H42+H48+H51+H57+H73+H81+H95+H88+H91+H103+H110+H116+H124+H134+H128</f>
        <v>0</v>
      </c>
      <c r="I137" s="34"/>
    </row>
    <row r="138" spans="2:9" ht="15.75" customHeight="1">
      <c r="B138" s="138"/>
      <c r="C138" s="139"/>
      <c r="D138" s="140"/>
      <c r="E138" s="141"/>
      <c r="F138" s="141"/>
      <c r="G138" s="141"/>
      <c r="H138" s="168"/>
      <c r="I138" s="34"/>
    </row>
    <row r="139" spans="2:9" ht="15.75">
      <c r="B139" s="150" t="s">
        <v>505</v>
      </c>
      <c r="C139" s="151"/>
      <c r="D139" s="152" t="s">
        <v>70</v>
      </c>
      <c r="E139" s="160">
        <f>'LDI - BDI'!C26</f>
        <v>0.2114879980079678</v>
      </c>
      <c r="F139" s="153"/>
      <c r="G139" s="153"/>
      <c r="H139" s="164">
        <f>H137*E139</f>
        <v>0</v>
      </c>
      <c r="I139" s="34"/>
    </row>
    <row r="140" spans="2:9" ht="15.75">
      <c r="B140" s="142"/>
      <c r="C140" s="143"/>
      <c r="D140" s="144"/>
      <c r="E140" s="141"/>
      <c r="F140" s="141"/>
      <c r="G140" s="141"/>
      <c r="H140" s="169"/>
      <c r="I140" s="34"/>
    </row>
    <row r="141" spans="2:9" ht="15.75">
      <c r="B141" s="150" t="s">
        <v>506</v>
      </c>
      <c r="C141" s="151"/>
      <c r="D141" s="152" t="s">
        <v>71</v>
      </c>
      <c r="E141" s="153"/>
      <c r="F141" s="153"/>
      <c r="G141" s="153"/>
      <c r="H141" s="164">
        <f>H137+H139</f>
        <v>0</v>
      </c>
      <c r="I141" s="34"/>
    </row>
    <row r="142" spans="2:9" ht="15.75">
      <c r="B142" s="142"/>
      <c r="C142" s="143"/>
      <c r="D142" s="144"/>
      <c r="E142" s="145"/>
      <c r="F142" s="145"/>
      <c r="G142" s="145"/>
      <c r="H142" s="170"/>
      <c r="I142" s="34"/>
    </row>
    <row r="143" spans="2:9" ht="15.75">
      <c r="B143" s="142"/>
      <c r="C143" s="143"/>
      <c r="D143" s="144"/>
      <c r="E143" s="145"/>
      <c r="F143" s="146"/>
      <c r="G143" s="146"/>
      <c r="H143" s="171"/>
      <c r="I143" s="34"/>
    </row>
    <row r="144" spans="2:9" ht="15.75" customHeight="1">
      <c r="B144" s="331" t="s">
        <v>529</v>
      </c>
      <c r="C144" s="332"/>
      <c r="D144" s="332"/>
      <c r="E144" s="332"/>
      <c r="F144" s="332"/>
      <c r="G144" s="332"/>
      <c r="H144" s="333"/>
      <c r="I144" s="34"/>
    </row>
    <row r="145" spans="2:9" ht="15.75">
      <c r="B145" s="334"/>
      <c r="C145" s="335"/>
      <c r="D145" s="335"/>
      <c r="E145" s="335"/>
      <c r="F145" s="335"/>
      <c r="G145" s="335"/>
      <c r="H145" s="336"/>
      <c r="I145" s="34"/>
    </row>
    <row r="146" spans="2:9" ht="15.75" customHeight="1">
      <c r="B146" s="147"/>
      <c r="C146" s="148"/>
      <c r="D146" s="328" t="s">
        <v>510</v>
      </c>
      <c r="E146" s="328"/>
      <c r="F146" s="329" t="s">
        <v>508</v>
      </c>
      <c r="G146" s="329"/>
      <c r="H146" s="330"/>
      <c r="I146" s="34"/>
    </row>
    <row r="147" spans="2:9" ht="15.75">
      <c r="B147" s="147"/>
      <c r="C147" s="148"/>
      <c r="D147" s="328"/>
      <c r="E147" s="328"/>
      <c r="F147" s="329"/>
      <c r="G147" s="329"/>
      <c r="H147" s="330"/>
      <c r="I147" s="34"/>
    </row>
    <row r="148" spans="2:9" ht="16.5" thickBot="1">
      <c r="B148" s="35"/>
      <c r="C148" s="36"/>
      <c r="D148" s="37"/>
      <c r="E148" s="38"/>
      <c r="F148" s="38"/>
      <c r="G148" s="38"/>
      <c r="H148" s="172"/>
      <c r="I148" s="34"/>
    </row>
  </sheetData>
  <sheetProtection/>
  <mergeCells count="18">
    <mergeCell ref="G7:G9"/>
    <mergeCell ref="H7:H9"/>
    <mergeCell ref="B1:H1"/>
    <mergeCell ref="B2:C4"/>
    <mergeCell ref="D3:H3"/>
    <mergeCell ref="D4:H4"/>
    <mergeCell ref="B5:C5"/>
    <mergeCell ref="E5:F5"/>
    <mergeCell ref="D146:E147"/>
    <mergeCell ref="F146:H147"/>
    <mergeCell ref="B144:H145"/>
    <mergeCell ref="B6:C6"/>
    <mergeCell ref="E6:F6"/>
    <mergeCell ref="B7:B9"/>
    <mergeCell ref="C7:C9"/>
    <mergeCell ref="D7:D9"/>
    <mergeCell ref="E7:E9"/>
    <mergeCell ref="F7:F9"/>
  </mergeCells>
  <printOptions/>
  <pageMargins left="0.03937007874015748" right="0.03937007874015748" top="0.15748031496062992" bottom="0.15748031496062992"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zoomScaleSheetLayoutView="75" zoomScalePageLayoutView="50" workbookViewId="0" topLeftCell="A1">
      <selection activeCell="C61" sqref="C61:I61"/>
    </sheetView>
  </sheetViews>
  <sheetFormatPr defaultColWidth="9.140625" defaultRowHeight="15"/>
  <cols>
    <col min="1" max="1" width="9.140625" style="228" customWidth="1"/>
    <col min="2" max="2" width="30.7109375" style="228" customWidth="1"/>
    <col min="3" max="3" width="9.8515625" style="228" bestFit="1" customWidth="1"/>
    <col min="4" max="4" width="2.7109375" style="228" customWidth="1"/>
    <col min="5" max="5" width="9.8515625" style="228" customWidth="1"/>
    <col min="6" max="6" width="2.7109375" style="228" customWidth="1"/>
    <col min="7" max="7" width="9.7109375" style="228" customWidth="1"/>
    <col min="8" max="8" width="2.7109375" style="228" customWidth="1"/>
    <col min="9" max="9" width="9.7109375" style="228" customWidth="1"/>
    <col min="10" max="10" width="2.7109375" style="228" customWidth="1"/>
    <col min="11" max="11" width="7.28125" style="228" customWidth="1"/>
    <col min="12" max="12" width="4.140625" style="228" customWidth="1"/>
    <col min="13" max="16384" width="9.140625" style="228" customWidth="1"/>
  </cols>
  <sheetData>
    <row r="1" spans="1:14" ht="12.75">
      <c r="A1" s="284"/>
      <c r="B1" s="285"/>
      <c r="C1" s="285"/>
      <c r="D1" s="285"/>
      <c r="E1" s="285"/>
      <c r="F1" s="285"/>
      <c r="G1" s="285"/>
      <c r="H1" s="285"/>
      <c r="I1" s="285"/>
      <c r="J1" s="285"/>
      <c r="K1" s="285"/>
      <c r="L1" s="285"/>
      <c r="M1" s="285"/>
      <c r="N1" s="263"/>
    </row>
    <row r="2" spans="1:14" ht="12.75">
      <c r="A2" s="270"/>
      <c r="B2" s="286" t="s">
        <v>227</v>
      </c>
      <c r="C2" s="266"/>
      <c r="D2" s="266"/>
      <c r="E2" s="266"/>
      <c r="F2" s="266"/>
      <c r="G2" s="266"/>
      <c r="H2" s="266"/>
      <c r="I2" s="266"/>
      <c r="J2" s="266"/>
      <c r="K2" s="266"/>
      <c r="L2" s="266"/>
      <c r="M2" s="266"/>
      <c r="N2" s="265"/>
    </row>
    <row r="3" spans="1:14" ht="12.75">
      <c r="A3" s="270"/>
      <c r="B3" s="367"/>
      <c r="C3" s="368"/>
      <c r="D3" s="368"/>
      <c r="E3" s="368"/>
      <c r="F3" s="368"/>
      <c r="G3" s="368"/>
      <c r="H3" s="368"/>
      <c r="I3" s="368"/>
      <c r="J3" s="368"/>
      <c r="K3" s="368"/>
      <c r="L3" s="368"/>
      <c r="M3" s="264"/>
      <c r="N3" s="265"/>
    </row>
    <row r="4" spans="1:14" ht="12.75">
      <c r="A4" s="270"/>
      <c r="B4" s="286" t="s">
        <v>228</v>
      </c>
      <c r="C4" s="266"/>
      <c r="D4" s="266"/>
      <c r="E4" s="266"/>
      <c r="F4" s="266"/>
      <c r="G4" s="266"/>
      <c r="H4" s="266"/>
      <c r="I4" s="266"/>
      <c r="J4" s="266"/>
      <c r="K4" s="266"/>
      <c r="L4" s="266"/>
      <c r="M4" s="266"/>
      <c r="N4" s="265"/>
    </row>
    <row r="5" spans="1:14" ht="12.75">
      <c r="A5" s="270"/>
      <c r="B5" s="287" t="str">
        <f>'[2]LANÇ. DADOS'!C5</f>
        <v>SINAPI</v>
      </c>
      <c r="C5" s="267"/>
      <c r="D5" s="268"/>
      <c r="E5" s="269"/>
      <c r="F5" s="268"/>
      <c r="G5" s="268"/>
      <c r="H5" s="268"/>
      <c r="I5" s="268"/>
      <c r="J5" s="268"/>
      <c r="K5" s="268"/>
      <c r="L5" s="268"/>
      <c r="M5" s="268"/>
      <c r="N5" s="265"/>
    </row>
    <row r="6" spans="1:14" ht="12.75">
      <c r="A6" s="270"/>
      <c r="B6" s="369" t="s">
        <v>229</v>
      </c>
      <c r="C6" s="370"/>
      <c r="D6" s="370"/>
      <c r="E6" s="370"/>
      <c r="F6" s="370"/>
      <c r="G6" s="370"/>
      <c r="H6" s="370"/>
      <c r="I6" s="370"/>
      <c r="J6" s="370"/>
      <c r="K6" s="370"/>
      <c r="L6" s="370"/>
      <c r="M6" s="370"/>
      <c r="N6" s="265"/>
    </row>
    <row r="7" spans="1:14" ht="12.75">
      <c r="A7" s="270"/>
      <c r="B7" s="268"/>
      <c r="C7" s="268"/>
      <c r="D7" s="268"/>
      <c r="E7" s="268"/>
      <c r="F7" s="268"/>
      <c r="G7" s="268"/>
      <c r="H7" s="268"/>
      <c r="I7" s="268"/>
      <c r="J7" s="268"/>
      <c r="K7" s="268"/>
      <c r="L7" s="268"/>
      <c r="M7" s="268"/>
      <c r="N7" s="265"/>
    </row>
    <row r="8" spans="1:14" ht="12.75">
      <c r="A8" s="270"/>
      <c r="B8" s="237" t="s">
        <v>230</v>
      </c>
      <c r="C8" s="268"/>
      <c r="D8" s="268"/>
      <c r="E8" s="268"/>
      <c r="F8" s="268"/>
      <c r="G8" s="268"/>
      <c r="H8" s="268"/>
      <c r="I8" s="268"/>
      <c r="J8" s="268"/>
      <c r="K8" s="268"/>
      <c r="L8" s="268"/>
      <c r="M8" s="268"/>
      <c r="N8" s="265"/>
    </row>
    <row r="9" spans="1:14" ht="12.75">
      <c r="A9" s="270"/>
      <c r="B9" s="268" t="s">
        <v>231</v>
      </c>
      <c r="C9" s="268"/>
      <c r="D9" s="268"/>
      <c r="E9" s="268"/>
      <c r="F9" s="268"/>
      <c r="G9" s="268"/>
      <c r="H9" s="268"/>
      <c r="I9" s="268"/>
      <c r="J9" s="268"/>
      <c r="K9" s="268"/>
      <c r="L9" s="268"/>
      <c r="M9" s="268"/>
      <c r="N9" s="265"/>
    </row>
    <row r="10" spans="1:14" ht="12.75">
      <c r="A10" s="270"/>
      <c r="B10" s="268"/>
      <c r="C10" s="356" t="s">
        <v>232</v>
      </c>
      <c r="D10" s="358"/>
      <c r="E10" s="356" t="s">
        <v>233</v>
      </c>
      <c r="F10" s="358"/>
      <c r="G10" s="268"/>
      <c r="H10" s="268"/>
      <c r="I10" s="268"/>
      <c r="J10" s="268"/>
      <c r="K10" s="268"/>
      <c r="L10" s="268"/>
      <c r="M10" s="268"/>
      <c r="N10" s="265"/>
    </row>
    <row r="11" spans="1:14" ht="12.75">
      <c r="A11" s="270"/>
      <c r="B11" s="229" t="s">
        <v>234</v>
      </c>
      <c r="C11" s="230" t="s">
        <v>7</v>
      </c>
      <c r="D11" s="231"/>
      <c r="E11" s="232">
        <v>1</v>
      </c>
      <c r="F11" s="231"/>
      <c r="G11" s="268"/>
      <c r="H11" s="268"/>
      <c r="I11" s="268"/>
      <c r="J11" s="268"/>
      <c r="K11" s="268"/>
      <c r="L11" s="268"/>
      <c r="M11" s="268"/>
      <c r="N11" s="265"/>
    </row>
    <row r="12" spans="1:14" ht="12.75">
      <c r="A12" s="270"/>
      <c r="B12" s="229" t="s">
        <v>235</v>
      </c>
      <c r="C12" s="230" t="s">
        <v>37</v>
      </c>
      <c r="D12" s="231"/>
      <c r="E12" s="232">
        <v>1.98</v>
      </c>
      <c r="F12" s="231"/>
      <c r="G12" s="268"/>
      <c r="H12" s="268"/>
      <c r="I12" s="268"/>
      <c r="J12" s="268"/>
      <c r="K12" s="268"/>
      <c r="L12" s="268"/>
      <c r="M12" s="268"/>
      <c r="N12" s="265"/>
    </row>
    <row r="13" spans="1:14" ht="12.75">
      <c r="A13" s="270"/>
      <c r="B13" s="229" t="s">
        <v>236</v>
      </c>
      <c r="C13" s="230" t="s">
        <v>237</v>
      </c>
      <c r="D13" s="231"/>
      <c r="E13" s="232">
        <v>0.03</v>
      </c>
      <c r="F13" s="231"/>
      <c r="G13" s="268"/>
      <c r="H13" s="268"/>
      <c r="I13" s="268"/>
      <c r="J13" s="268"/>
      <c r="K13" s="268"/>
      <c r="L13" s="268"/>
      <c r="M13" s="268"/>
      <c r="N13" s="265"/>
    </row>
    <row r="14" spans="1:14" ht="12.75">
      <c r="A14" s="270"/>
      <c r="B14" s="229" t="s">
        <v>238</v>
      </c>
      <c r="C14" s="230" t="s">
        <v>237</v>
      </c>
      <c r="D14" s="231"/>
      <c r="E14" s="232">
        <v>0.04</v>
      </c>
      <c r="F14" s="231"/>
      <c r="G14" s="268"/>
      <c r="H14" s="268"/>
      <c r="I14" s="268"/>
      <c r="J14" s="268"/>
      <c r="K14" s="268"/>
      <c r="L14" s="268"/>
      <c r="M14" s="268"/>
      <c r="N14" s="265"/>
    </row>
    <row r="15" spans="1:14" ht="12.75">
      <c r="A15" s="270"/>
      <c r="B15" s="229" t="s">
        <v>239</v>
      </c>
      <c r="C15" s="230" t="s">
        <v>37</v>
      </c>
      <c r="D15" s="231"/>
      <c r="E15" s="232">
        <v>2.41</v>
      </c>
      <c r="F15" s="231"/>
      <c r="G15" s="268"/>
      <c r="H15" s="268"/>
      <c r="I15" s="268"/>
      <c r="J15" s="268"/>
      <c r="K15" s="268"/>
      <c r="L15" s="268"/>
      <c r="M15" s="268"/>
      <c r="N15" s="265"/>
    </row>
    <row r="16" spans="1:14" ht="12.75">
      <c r="A16" s="270"/>
      <c r="B16" s="229" t="s">
        <v>240</v>
      </c>
      <c r="C16" s="230" t="s">
        <v>241</v>
      </c>
      <c r="D16" s="231"/>
      <c r="E16" s="232">
        <v>0.01</v>
      </c>
      <c r="F16" s="231"/>
      <c r="G16" s="268"/>
      <c r="H16" s="268"/>
      <c r="I16" s="268"/>
      <c r="J16" s="268"/>
      <c r="K16" s="268"/>
      <c r="L16" s="268"/>
      <c r="M16" s="268"/>
      <c r="N16" s="265"/>
    </row>
    <row r="17" spans="1:14" ht="12.75">
      <c r="A17" s="270"/>
      <c r="B17" s="229" t="s">
        <v>242</v>
      </c>
      <c r="C17" s="230" t="s">
        <v>241</v>
      </c>
      <c r="D17" s="231"/>
      <c r="E17" s="232">
        <v>0.09</v>
      </c>
      <c r="F17" s="231"/>
      <c r="G17" s="268"/>
      <c r="H17" s="268"/>
      <c r="I17" s="268"/>
      <c r="J17" s="268"/>
      <c r="K17" s="268"/>
      <c r="L17" s="268"/>
      <c r="M17" s="268"/>
      <c r="N17" s="265"/>
    </row>
    <row r="18" spans="1:14" ht="12.75">
      <c r="A18" s="270"/>
      <c r="B18" s="229" t="s">
        <v>243</v>
      </c>
      <c r="C18" s="230" t="s">
        <v>241</v>
      </c>
      <c r="D18" s="231"/>
      <c r="E18" s="232">
        <v>0.09</v>
      </c>
      <c r="F18" s="231"/>
      <c r="G18" s="268"/>
      <c r="H18" s="268"/>
      <c r="I18" s="268"/>
      <c r="J18" s="268"/>
      <c r="K18" s="268"/>
      <c r="L18" s="268"/>
      <c r="M18" s="268"/>
      <c r="N18" s="265"/>
    </row>
    <row r="19" spans="1:14" ht="12.75">
      <c r="A19" s="270"/>
      <c r="B19" s="268"/>
      <c r="C19" s="268"/>
      <c r="D19" s="268"/>
      <c r="E19" s="268"/>
      <c r="F19" s="268"/>
      <c r="G19" s="268"/>
      <c r="H19" s="268"/>
      <c r="I19" s="268"/>
      <c r="J19" s="268"/>
      <c r="K19" s="268"/>
      <c r="L19" s="268"/>
      <c r="M19" s="268"/>
      <c r="N19" s="265"/>
    </row>
    <row r="20" spans="1:14" ht="12.75">
      <c r="A20" s="270"/>
      <c r="B20" s="268" t="s">
        <v>244</v>
      </c>
      <c r="C20" s="233">
        <f>'[3]Encargos Sociais'!C52</f>
        <v>119.89992269999999</v>
      </c>
      <c r="D20" s="234" t="s">
        <v>245</v>
      </c>
      <c r="E20" s="235">
        <f>(C20+100)/100</f>
        <v>2.198999227</v>
      </c>
      <c r="F20" s="268"/>
      <c r="G20" s="268"/>
      <c r="H20" s="268"/>
      <c r="I20" s="268"/>
      <c r="J20" s="268"/>
      <c r="K20" s="268"/>
      <c r="L20" s="268"/>
      <c r="M20" s="268"/>
      <c r="N20" s="265"/>
    </row>
    <row r="21" spans="1:14" ht="12.75">
      <c r="A21" s="270"/>
      <c r="B21" s="268"/>
      <c r="C21" s="236"/>
      <c r="D21" s="237"/>
      <c r="E21" s="238"/>
      <c r="F21" s="268"/>
      <c r="G21" s="268"/>
      <c r="H21" s="268"/>
      <c r="I21" s="268"/>
      <c r="J21" s="268"/>
      <c r="K21" s="268"/>
      <c r="L21" s="268"/>
      <c r="M21" s="268"/>
      <c r="N21" s="265"/>
    </row>
    <row r="22" spans="1:14" ht="12.75">
      <c r="A22" s="270"/>
      <c r="B22" s="268" t="s">
        <v>246</v>
      </c>
      <c r="C22" s="268"/>
      <c r="D22" s="268"/>
      <c r="E22" s="268"/>
      <c r="F22" s="356" t="s">
        <v>247</v>
      </c>
      <c r="G22" s="358"/>
      <c r="H22" s="356" t="s">
        <v>248</v>
      </c>
      <c r="I22" s="358"/>
      <c r="J22" s="268"/>
      <c r="K22" s="268"/>
      <c r="L22" s="268"/>
      <c r="M22" s="268"/>
      <c r="N22" s="265"/>
    </row>
    <row r="23" spans="1:14" ht="12.75">
      <c r="A23" s="270"/>
      <c r="B23" s="268"/>
      <c r="C23" s="359" t="s">
        <v>249</v>
      </c>
      <c r="D23" s="360"/>
      <c r="E23" s="361"/>
      <c r="F23" s="239"/>
      <c r="G23" s="240">
        <f>'[2]Tabela Sindicato'!E8</f>
        <v>6.24</v>
      </c>
      <c r="H23" s="232"/>
      <c r="I23" s="240">
        <f>'[2]Tabela Sindicato'!E12</f>
        <v>3.3342727272727273</v>
      </c>
      <c r="J23" s="268"/>
      <c r="K23" s="268"/>
      <c r="L23" s="268"/>
      <c r="M23" s="268"/>
      <c r="N23" s="265"/>
    </row>
    <row r="24" spans="1:14" ht="12.75">
      <c r="A24" s="270"/>
      <c r="B24" s="268"/>
      <c r="C24" s="359" t="s">
        <v>250</v>
      </c>
      <c r="D24" s="360"/>
      <c r="E24" s="361"/>
      <c r="F24" s="239"/>
      <c r="G24" s="241">
        <f>G23*$E20</f>
        <v>13.72175517648</v>
      </c>
      <c r="H24" s="240"/>
      <c r="I24" s="242">
        <f>I23*$E20</f>
        <v>7.332063149879908</v>
      </c>
      <c r="J24" s="268"/>
      <c r="K24" s="268"/>
      <c r="L24" s="268"/>
      <c r="M24" s="268"/>
      <c r="N24" s="265"/>
    </row>
    <row r="25" spans="1:14" ht="12.75">
      <c r="A25" s="270"/>
      <c r="B25" s="268"/>
      <c r="C25" s="268"/>
      <c r="D25" s="268"/>
      <c r="E25" s="268"/>
      <c r="F25" s="268"/>
      <c r="G25" s="268"/>
      <c r="H25" s="268"/>
      <c r="I25" s="268"/>
      <c r="J25" s="268"/>
      <c r="K25" s="268"/>
      <c r="L25" s="268"/>
      <c r="M25" s="268"/>
      <c r="N25" s="265"/>
    </row>
    <row r="26" spans="1:14" ht="12.75">
      <c r="A26" s="270"/>
      <c r="B26" s="268" t="s">
        <v>251</v>
      </c>
      <c r="C26" s="268"/>
      <c r="D26" s="268"/>
      <c r="E26" s="356" t="s">
        <v>252</v>
      </c>
      <c r="F26" s="362"/>
      <c r="G26" s="356" t="s">
        <v>247</v>
      </c>
      <c r="H26" s="362"/>
      <c r="I26" s="356" t="s">
        <v>248</v>
      </c>
      <c r="J26" s="362"/>
      <c r="K26" s="268"/>
      <c r="L26" s="268"/>
      <c r="M26" s="268"/>
      <c r="N26" s="265"/>
    </row>
    <row r="27" spans="1:14" ht="12.75">
      <c r="A27" s="270"/>
      <c r="B27" s="363" t="s">
        <v>253</v>
      </c>
      <c r="C27" s="364"/>
      <c r="D27" s="365"/>
      <c r="E27" s="230" t="s">
        <v>254</v>
      </c>
      <c r="F27" s="231"/>
      <c r="G27" s="243">
        <v>0.4</v>
      </c>
      <c r="H27" s="244"/>
      <c r="I27" s="232">
        <v>0.4</v>
      </c>
      <c r="J27" s="231"/>
      <c r="K27" s="268" t="s">
        <v>255</v>
      </c>
      <c r="L27" s="268"/>
      <c r="M27" s="268"/>
      <c r="N27" s="265"/>
    </row>
    <row r="28" spans="1:14" ht="12.75">
      <c r="A28" s="270"/>
      <c r="B28" s="363" t="s">
        <v>256</v>
      </c>
      <c r="C28" s="364"/>
      <c r="D28" s="365"/>
      <c r="E28" s="232">
        <v>25</v>
      </c>
      <c r="F28" s="231"/>
      <c r="G28" s="245" t="s">
        <v>254</v>
      </c>
      <c r="H28" s="244"/>
      <c r="I28" s="245" t="s">
        <v>254</v>
      </c>
      <c r="J28" s="231"/>
      <c r="K28" s="268" t="s">
        <v>257</v>
      </c>
      <c r="L28" s="268"/>
      <c r="M28" s="268"/>
      <c r="N28" s="265"/>
    </row>
    <row r="29" spans="1:14" ht="12.75">
      <c r="A29" s="270"/>
      <c r="B29" s="268"/>
      <c r="C29" s="268"/>
      <c r="D29" s="268"/>
      <c r="E29" s="268"/>
      <c r="F29" s="268"/>
      <c r="G29" s="268"/>
      <c r="H29" s="268"/>
      <c r="I29" s="268"/>
      <c r="J29" s="268"/>
      <c r="K29" s="268"/>
      <c r="L29" s="268"/>
      <c r="M29" s="268"/>
      <c r="N29" s="265"/>
    </row>
    <row r="30" spans="1:14" ht="12.75">
      <c r="A30" s="270"/>
      <c r="B30" s="268" t="s">
        <v>258</v>
      </c>
      <c r="C30" s="268"/>
      <c r="D30" s="268"/>
      <c r="E30" s="268"/>
      <c r="F30" s="268"/>
      <c r="G30" s="268"/>
      <c r="H30" s="268"/>
      <c r="I30" s="268"/>
      <c r="J30" s="268"/>
      <c r="K30" s="268"/>
      <c r="L30" s="268"/>
      <c r="M30" s="268"/>
      <c r="N30" s="265"/>
    </row>
    <row r="31" spans="1:14" ht="12.75">
      <c r="A31" s="270"/>
      <c r="B31" s="268"/>
      <c r="C31" s="356" t="s">
        <v>232</v>
      </c>
      <c r="D31" s="358"/>
      <c r="E31" s="356" t="s">
        <v>259</v>
      </c>
      <c r="F31" s="358"/>
      <c r="G31" s="268"/>
      <c r="H31" s="268"/>
      <c r="I31" s="268"/>
      <c r="J31" s="268"/>
      <c r="K31" s="268"/>
      <c r="L31" s="268"/>
      <c r="M31" s="268"/>
      <c r="N31" s="265"/>
    </row>
    <row r="32" spans="1:14" ht="12.75">
      <c r="A32" s="270"/>
      <c r="B32" s="229" t="s">
        <v>234</v>
      </c>
      <c r="C32" s="230" t="s">
        <v>7</v>
      </c>
      <c r="D32" s="246"/>
      <c r="E32" s="247">
        <f>'[2]InsumoGO042011'!E57*9.307</f>
        <v>37.97256</v>
      </c>
      <c r="F32" s="231"/>
      <c r="G32" s="268"/>
      <c r="H32" s="268"/>
      <c r="I32" s="268"/>
      <c r="J32" s="268"/>
      <c r="K32" s="268"/>
      <c r="L32" s="268"/>
      <c r="M32" s="268"/>
      <c r="N32" s="265"/>
    </row>
    <row r="33" spans="1:14" ht="12.75">
      <c r="A33" s="270"/>
      <c r="B33" s="229" t="s">
        <v>235</v>
      </c>
      <c r="C33" s="230" t="s">
        <v>37</v>
      </c>
      <c r="D33" s="246"/>
      <c r="E33" s="247">
        <f>'[2]InsumoGO042011'!E136</f>
        <v>8.71498125</v>
      </c>
      <c r="F33" s="231"/>
      <c r="G33" s="268"/>
      <c r="H33" s="268"/>
      <c r="I33" s="268"/>
      <c r="J33" s="268"/>
      <c r="K33" s="268"/>
      <c r="L33" s="268"/>
      <c r="M33" s="268"/>
      <c r="N33" s="265"/>
    </row>
    <row r="34" spans="1:14" ht="12.75">
      <c r="A34" s="270"/>
      <c r="B34" s="229" t="s">
        <v>236</v>
      </c>
      <c r="C34" s="230" t="s">
        <v>237</v>
      </c>
      <c r="D34" s="246"/>
      <c r="E34" s="247">
        <f>'[2]InsumoGO042011'!E163</f>
        <v>8.5</v>
      </c>
      <c r="F34" s="231"/>
      <c r="G34" s="268"/>
      <c r="H34" s="268"/>
      <c r="I34" s="268"/>
      <c r="J34" s="268"/>
      <c r="K34" s="268"/>
      <c r="L34" s="268"/>
      <c r="M34" s="268"/>
      <c r="N34" s="265"/>
    </row>
    <row r="35" spans="1:14" ht="12.75">
      <c r="A35" s="270"/>
      <c r="B35" s="229" t="s">
        <v>238</v>
      </c>
      <c r="C35" s="230" t="s">
        <v>237</v>
      </c>
      <c r="D35" s="246"/>
      <c r="E35" s="247">
        <f>'[2]InsumoGO042011'!E164</f>
        <v>7</v>
      </c>
      <c r="F35" s="231"/>
      <c r="G35" s="268"/>
      <c r="H35" s="268"/>
      <c r="I35" s="268"/>
      <c r="J35" s="268"/>
      <c r="K35" s="268"/>
      <c r="L35" s="268"/>
      <c r="M35" s="268"/>
      <c r="N35" s="265"/>
    </row>
    <row r="36" spans="1:14" ht="12.75">
      <c r="A36" s="270"/>
      <c r="B36" s="229" t="s">
        <v>239</v>
      </c>
      <c r="C36" s="230" t="s">
        <v>37</v>
      </c>
      <c r="D36" s="246"/>
      <c r="E36" s="247">
        <f>'[2]InsumoGO042011'!E135</f>
        <v>7.436784</v>
      </c>
      <c r="F36" s="231"/>
      <c r="G36" s="268"/>
      <c r="H36" s="268"/>
      <c r="I36" s="268"/>
      <c r="J36" s="268"/>
      <c r="K36" s="268"/>
      <c r="L36" s="268"/>
      <c r="M36" s="268"/>
      <c r="N36" s="265"/>
    </row>
    <row r="37" spans="1:14" ht="12.75">
      <c r="A37" s="270"/>
      <c r="B37" s="229" t="s">
        <v>240</v>
      </c>
      <c r="C37" s="230" t="s">
        <v>241</v>
      </c>
      <c r="D37" s="246"/>
      <c r="E37" s="247">
        <f>'[2]InsumoGO042011'!E180</f>
        <v>6.62</v>
      </c>
      <c r="F37" s="231"/>
      <c r="G37" s="268"/>
      <c r="H37" s="268"/>
      <c r="I37" s="268"/>
      <c r="J37" s="268"/>
      <c r="K37" s="268"/>
      <c r="L37" s="268"/>
      <c r="M37" s="268"/>
      <c r="N37" s="265"/>
    </row>
    <row r="38" spans="1:14" ht="12.75">
      <c r="A38" s="270"/>
      <c r="B38" s="229" t="s">
        <v>242</v>
      </c>
      <c r="C38" s="230" t="s">
        <v>241</v>
      </c>
      <c r="D38" s="246"/>
      <c r="E38" s="247">
        <f>'[2]InsumoGO042011'!E199/3.6</f>
        <v>11.5</v>
      </c>
      <c r="F38" s="231"/>
      <c r="G38" s="268"/>
      <c r="H38" s="268"/>
      <c r="I38" s="268"/>
      <c r="J38" s="268"/>
      <c r="K38" s="268"/>
      <c r="L38" s="268"/>
      <c r="M38" s="268"/>
      <c r="N38" s="265"/>
    </row>
    <row r="39" spans="1:14" ht="12.75">
      <c r="A39" s="270"/>
      <c r="B39" s="229" t="s">
        <v>243</v>
      </c>
      <c r="C39" s="230" t="s">
        <v>241</v>
      </c>
      <c r="D39" s="246"/>
      <c r="E39" s="247">
        <f>'[2]InsumoGO042011'!E99</f>
        <v>15.48</v>
      </c>
      <c r="F39" s="231"/>
      <c r="G39" s="268"/>
      <c r="H39" s="268"/>
      <c r="I39" s="268"/>
      <c r="J39" s="268"/>
      <c r="K39" s="268"/>
      <c r="L39" s="268"/>
      <c r="M39" s="268"/>
      <c r="N39" s="265"/>
    </row>
    <row r="40" spans="1:14" ht="12.75">
      <c r="A40" s="270"/>
      <c r="B40" s="268"/>
      <c r="C40" s="268"/>
      <c r="D40" s="268"/>
      <c r="E40" s="268"/>
      <c r="F40" s="268"/>
      <c r="G40" s="268"/>
      <c r="H40" s="268"/>
      <c r="I40" s="268"/>
      <c r="J40" s="268"/>
      <c r="K40" s="268"/>
      <c r="L40" s="268"/>
      <c r="M40" s="268"/>
      <c r="N40" s="265"/>
    </row>
    <row r="41" spans="1:14" ht="15">
      <c r="A41" s="270"/>
      <c r="B41" s="288" t="s">
        <v>569</v>
      </c>
      <c r="C41" s="271"/>
      <c r="D41" s="271"/>
      <c r="E41" s="271"/>
      <c r="F41" s="271"/>
      <c r="G41" s="271"/>
      <c r="H41" s="271"/>
      <c r="I41" s="271"/>
      <c r="J41" s="271"/>
      <c r="K41" s="366" t="s">
        <v>260</v>
      </c>
      <c r="L41" s="366"/>
      <c r="M41" s="271" t="s">
        <v>22</v>
      </c>
      <c r="N41" s="265"/>
    </row>
    <row r="42" spans="1:14" ht="12.75">
      <c r="A42" s="270"/>
      <c r="B42" s="268"/>
      <c r="C42" s="268"/>
      <c r="D42" s="268"/>
      <c r="E42" s="268"/>
      <c r="F42" s="268"/>
      <c r="G42" s="268"/>
      <c r="H42" s="268"/>
      <c r="I42" s="268"/>
      <c r="J42" s="268"/>
      <c r="K42" s="268"/>
      <c r="L42" s="268"/>
      <c r="M42" s="268"/>
      <c r="N42" s="265"/>
    </row>
    <row r="43" spans="1:14" ht="12.75">
      <c r="A43" s="270"/>
      <c r="B43" s="371" t="s">
        <v>261</v>
      </c>
      <c r="C43" s="373" t="s">
        <v>262</v>
      </c>
      <c r="D43" s="374"/>
      <c r="E43" s="371" t="s">
        <v>226</v>
      </c>
      <c r="F43" s="377" t="s">
        <v>263</v>
      </c>
      <c r="G43" s="378"/>
      <c r="H43" s="356" t="s">
        <v>264</v>
      </c>
      <c r="I43" s="357"/>
      <c r="J43" s="357"/>
      <c r="K43" s="357"/>
      <c r="L43" s="357"/>
      <c r="M43" s="358"/>
      <c r="N43" s="265"/>
    </row>
    <row r="44" spans="1:14" ht="12.75">
      <c r="A44" s="270"/>
      <c r="B44" s="372"/>
      <c r="C44" s="375"/>
      <c r="D44" s="376"/>
      <c r="E44" s="372"/>
      <c r="F44" s="379"/>
      <c r="G44" s="380"/>
      <c r="H44" s="356" t="s">
        <v>265</v>
      </c>
      <c r="I44" s="358"/>
      <c r="J44" s="356" t="s">
        <v>266</v>
      </c>
      <c r="K44" s="357"/>
      <c r="L44" s="358"/>
      <c r="M44" s="248" t="s">
        <v>267</v>
      </c>
      <c r="N44" s="265"/>
    </row>
    <row r="45" spans="1:14" ht="12.75">
      <c r="A45" s="270"/>
      <c r="B45" s="229" t="s">
        <v>234</v>
      </c>
      <c r="C45" s="230" t="s">
        <v>7</v>
      </c>
      <c r="D45" s="231"/>
      <c r="E45" s="249">
        <f aca="true" t="shared" si="0" ref="E45:E52">E11</f>
        <v>1</v>
      </c>
      <c r="F45" s="446"/>
      <c r="G45" s="447"/>
      <c r="H45" s="247"/>
      <c r="I45" s="250">
        <f>E45*G45</f>
        <v>0</v>
      </c>
      <c r="J45" s="247"/>
      <c r="K45" s="251"/>
      <c r="L45" s="250"/>
      <c r="M45" s="252"/>
      <c r="N45" s="265"/>
    </row>
    <row r="46" spans="1:14" ht="12.75">
      <c r="A46" s="270"/>
      <c r="B46" s="229" t="s">
        <v>235</v>
      </c>
      <c r="C46" s="230" t="s">
        <v>37</v>
      </c>
      <c r="D46" s="231"/>
      <c r="E46" s="249">
        <f t="shared" si="0"/>
        <v>1.98</v>
      </c>
      <c r="F46" s="446"/>
      <c r="G46" s="447"/>
      <c r="H46" s="247"/>
      <c r="I46" s="250">
        <f aca="true" t="shared" si="1" ref="I46:I52">E46*G46</f>
        <v>0</v>
      </c>
      <c r="J46" s="247"/>
      <c r="K46" s="251"/>
      <c r="L46" s="250"/>
      <c r="M46" s="252"/>
      <c r="N46" s="265"/>
    </row>
    <row r="47" spans="1:14" ht="12.75">
      <c r="A47" s="270"/>
      <c r="B47" s="229" t="s">
        <v>236</v>
      </c>
      <c r="C47" s="230" t="s">
        <v>237</v>
      </c>
      <c r="D47" s="231"/>
      <c r="E47" s="249">
        <f t="shared" si="0"/>
        <v>0.03</v>
      </c>
      <c r="F47" s="446"/>
      <c r="G47" s="447"/>
      <c r="H47" s="247"/>
      <c r="I47" s="250">
        <f t="shared" si="1"/>
        <v>0</v>
      </c>
      <c r="J47" s="247"/>
      <c r="K47" s="251"/>
      <c r="L47" s="250"/>
      <c r="M47" s="252"/>
      <c r="N47" s="265"/>
    </row>
    <row r="48" spans="1:14" ht="12.75">
      <c r="A48" s="270"/>
      <c r="B48" s="229" t="s">
        <v>238</v>
      </c>
      <c r="C48" s="230" t="s">
        <v>237</v>
      </c>
      <c r="D48" s="231"/>
      <c r="E48" s="249">
        <f t="shared" si="0"/>
        <v>0.04</v>
      </c>
      <c r="F48" s="446"/>
      <c r="G48" s="447"/>
      <c r="H48" s="247"/>
      <c r="I48" s="250">
        <f t="shared" si="1"/>
        <v>0</v>
      </c>
      <c r="J48" s="247"/>
      <c r="K48" s="251"/>
      <c r="L48" s="250"/>
      <c r="M48" s="252"/>
      <c r="N48" s="265"/>
    </row>
    <row r="49" spans="1:14" ht="12.75">
      <c r="A49" s="270"/>
      <c r="B49" s="229" t="s">
        <v>239</v>
      </c>
      <c r="C49" s="230" t="s">
        <v>37</v>
      </c>
      <c r="D49" s="231"/>
      <c r="E49" s="249">
        <f t="shared" si="0"/>
        <v>2.41</v>
      </c>
      <c r="F49" s="446"/>
      <c r="G49" s="447"/>
      <c r="H49" s="247"/>
      <c r="I49" s="250">
        <f t="shared" si="1"/>
        <v>0</v>
      </c>
      <c r="J49" s="247"/>
      <c r="K49" s="251"/>
      <c r="L49" s="250"/>
      <c r="M49" s="252"/>
      <c r="N49" s="265"/>
    </row>
    <row r="50" spans="1:14" ht="12.75">
      <c r="A50" s="270"/>
      <c r="B50" s="229" t="s">
        <v>240</v>
      </c>
      <c r="C50" s="230" t="s">
        <v>241</v>
      </c>
      <c r="D50" s="231"/>
      <c r="E50" s="249">
        <f t="shared" si="0"/>
        <v>0.01</v>
      </c>
      <c r="F50" s="446"/>
      <c r="G50" s="447"/>
      <c r="H50" s="247"/>
      <c r="I50" s="250">
        <f t="shared" si="1"/>
        <v>0</v>
      </c>
      <c r="J50" s="247"/>
      <c r="K50" s="251"/>
      <c r="L50" s="250"/>
      <c r="M50" s="252"/>
      <c r="N50" s="265"/>
    </row>
    <row r="51" spans="1:14" ht="12.75">
      <c r="A51" s="270"/>
      <c r="B51" s="229" t="s">
        <v>242</v>
      </c>
      <c r="C51" s="230" t="s">
        <v>241</v>
      </c>
      <c r="D51" s="231"/>
      <c r="E51" s="249">
        <f t="shared" si="0"/>
        <v>0.09</v>
      </c>
      <c r="F51" s="446"/>
      <c r="G51" s="447"/>
      <c r="H51" s="247"/>
      <c r="I51" s="250">
        <f t="shared" si="1"/>
        <v>0</v>
      </c>
      <c r="J51" s="247"/>
      <c r="K51" s="251"/>
      <c r="L51" s="250"/>
      <c r="M51" s="252"/>
      <c r="N51" s="265"/>
    </row>
    <row r="52" spans="1:14" ht="12.75">
      <c r="A52" s="270"/>
      <c r="B52" s="229" t="s">
        <v>243</v>
      </c>
      <c r="C52" s="230" t="s">
        <v>241</v>
      </c>
      <c r="D52" s="231"/>
      <c r="E52" s="249">
        <f t="shared" si="0"/>
        <v>0.09</v>
      </c>
      <c r="F52" s="446"/>
      <c r="G52" s="447"/>
      <c r="H52" s="247"/>
      <c r="I52" s="250">
        <f t="shared" si="1"/>
        <v>0</v>
      </c>
      <c r="J52" s="247"/>
      <c r="K52" s="251"/>
      <c r="L52" s="250"/>
      <c r="M52" s="252"/>
      <c r="N52" s="265"/>
    </row>
    <row r="53" spans="1:14" ht="12.75">
      <c r="A53" s="270"/>
      <c r="B53" s="229" t="s">
        <v>252</v>
      </c>
      <c r="C53" s="230" t="s">
        <v>7</v>
      </c>
      <c r="D53" s="231"/>
      <c r="E53" s="249">
        <v>1</v>
      </c>
      <c r="F53" s="446"/>
      <c r="G53" s="447"/>
      <c r="H53" s="247"/>
      <c r="I53" s="250"/>
      <c r="J53" s="247"/>
      <c r="K53" s="251">
        <f>E53*G53</f>
        <v>0</v>
      </c>
      <c r="L53" s="250"/>
      <c r="M53" s="252"/>
      <c r="N53" s="265"/>
    </row>
    <row r="54" spans="1:14" ht="12.75">
      <c r="A54" s="270"/>
      <c r="B54" s="229" t="s">
        <v>247</v>
      </c>
      <c r="C54" s="230" t="s">
        <v>268</v>
      </c>
      <c r="D54" s="231"/>
      <c r="E54" s="249">
        <f>G27</f>
        <v>0.4</v>
      </c>
      <c r="F54" s="446"/>
      <c r="G54" s="447"/>
      <c r="H54" s="247"/>
      <c r="I54" s="250"/>
      <c r="J54" s="247"/>
      <c r="K54" s="251">
        <f>E54*G54</f>
        <v>0</v>
      </c>
      <c r="L54" s="250"/>
      <c r="M54" s="252"/>
      <c r="N54" s="265"/>
    </row>
    <row r="55" spans="1:14" ht="12.75">
      <c r="A55" s="270"/>
      <c r="B55" s="229" t="s">
        <v>248</v>
      </c>
      <c r="C55" s="230" t="s">
        <v>268</v>
      </c>
      <c r="D55" s="231"/>
      <c r="E55" s="249">
        <f>I27</f>
        <v>0.4</v>
      </c>
      <c r="F55" s="446"/>
      <c r="G55" s="447"/>
      <c r="H55" s="247"/>
      <c r="I55" s="250"/>
      <c r="J55" s="247"/>
      <c r="K55" s="251">
        <f>E55*G55</f>
        <v>0</v>
      </c>
      <c r="L55" s="250"/>
      <c r="M55" s="252"/>
      <c r="N55" s="265"/>
    </row>
    <row r="56" spans="1:14" ht="12.75">
      <c r="A56" s="270"/>
      <c r="B56" s="229"/>
      <c r="C56" s="230"/>
      <c r="D56" s="231"/>
      <c r="E56" s="249"/>
      <c r="F56" s="446"/>
      <c r="G56" s="447"/>
      <c r="H56" s="247"/>
      <c r="I56" s="250"/>
      <c r="J56" s="247"/>
      <c r="K56" s="251"/>
      <c r="L56" s="250"/>
      <c r="M56" s="252"/>
      <c r="N56" s="265"/>
    </row>
    <row r="57" spans="1:14" ht="13.5" thickBot="1">
      <c r="A57" s="270"/>
      <c r="B57" s="268"/>
      <c r="C57" s="237" t="s">
        <v>269</v>
      </c>
      <c r="D57" s="237"/>
      <c r="E57" s="237"/>
      <c r="F57" s="272"/>
      <c r="G57" s="272"/>
      <c r="H57" s="253"/>
      <c r="I57" s="254">
        <f>SUM(I45:I56)</f>
        <v>0</v>
      </c>
      <c r="J57" s="253"/>
      <c r="K57" s="255">
        <f>SUM(K53:K56)</f>
        <v>0</v>
      </c>
      <c r="L57" s="254"/>
      <c r="M57" s="254"/>
      <c r="N57" s="265"/>
    </row>
    <row r="58" spans="1:14" ht="13.5" thickTop="1">
      <c r="A58" s="270"/>
      <c r="B58" s="268"/>
      <c r="C58" s="268" t="s">
        <v>270</v>
      </c>
      <c r="D58" s="268"/>
      <c r="E58" s="268"/>
      <c r="F58" s="268"/>
      <c r="G58" s="268"/>
      <c r="H58" s="256"/>
      <c r="I58" s="257">
        <f>I57+K57+M57</f>
        <v>0</v>
      </c>
      <c r="J58" s="258"/>
      <c r="K58" s="268"/>
      <c r="L58" s="268"/>
      <c r="M58" s="268"/>
      <c r="N58" s="265"/>
    </row>
    <row r="59" spans="1:14" ht="12.75">
      <c r="A59" s="270"/>
      <c r="B59" s="268"/>
      <c r="C59" s="268" t="s">
        <v>271</v>
      </c>
      <c r="D59" s="268"/>
      <c r="E59" s="268"/>
      <c r="F59" s="268"/>
      <c r="G59" s="268"/>
      <c r="H59" s="247"/>
      <c r="I59" s="250">
        <f>'LDI - BDI'!H6</f>
        <v>0.2114879980079678</v>
      </c>
      <c r="J59" s="259"/>
      <c r="K59" s="268"/>
      <c r="L59" s="268"/>
      <c r="M59" s="268"/>
      <c r="N59" s="265"/>
    </row>
    <row r="60" spans="1:14" ht="12.75">
      <c r="A60" s="270"/>
      <c r="B60" s="268"/>
      <c r="C60" s="237" t="s">
        <v>272</v>
      </c>
      <c r="D60" s="237"/>
      <c r="E60" s="237"/>
      <c r="F60" s="237"/>
      <c r="G60" s="237"/>
      <c r="H60" s="260"/>
      <c r="I60" s="261">
        <f>I58*(1+I59)</f>
        <v>0</v>
      </c>
      <c r="J60" s="262"/>
      <c r="K60" s="268"/>
      <c r="L60" s="268"/>
      <c r="M60" s="268"/>
      <c r="N60" s="265"/>
    </row>
    <row r="61" spans="1:14" ht="12.75">
      <c r="A61" s="270"/>
      <c r="B61" s="268"/>
      <c r="C61" s="448" t="s">
        <v>573</v>
      </c>
      <c r="D61" s="448"/>
      <c r="E61" s="448"/>
      <c r="F61" s="448"/>
      <c r="G61" s="449"/>
      <c r="H61" s="260"/>
      <c r="I61" s="450"/>
      <c r="J61" s="272"/>
      <c r="K61" s="268"/>
      <c r="L61" s="268"/>
      <c r="M61" s="268"/>
      <c r="N61" s="265"/>
    </row>
    <row r="62" spans="1:14" ht="12.75">
      <c r="A62" s="270"/>
      <c r="B62" s="268"/>
      <c r="C62" s="273" t="s">
        <v>7</v>
      </c>
      <c r="D62" s="268"/>
      <c r="E62" s="267" t="s">
        <v>275</v>
      </c>
      <c r="F62" s="268"/>
      <c r="G62" s="268"/>
      <c r="H62" s="268"/>
      <c r="I62" s="268"/>
      <c r="J62" s="268"/>
      <c r="K62" s="268"/>
      <c r="L62" s="268"/>
      <c r="M62" s="268"/>
      <c r="N62" s="265"/>
    </row>
    <row r="63" spans="1:14" ht="12.75">
      <c r="A63" s="270"/>
      <c r="B63" s="237" t="s">
        <v>276</v>
      </c>
      <c r="C63" s="274">
        <f>'[2]Memcalc cA IQ'!K219</f>
        <v>8.8</v>
      </c>
      <c r="D63" s="267" t="s">
        <v>273</v>
      </c>
      <c r="E63" s="275">
        <f>I60</f>
        <v>0</v>
      </c>
      <c r="F63" s="267" t="s">
        <v>274</v>
      </c>
      <c r="G63" s="276">
        <f>C63*E63*I61</f>
        <v>0</v>
      </c>
      <c r="H63" s="237"/>
      <c r="I63" s="277"/>
      <c r="J63" s="268"/>
      <c r="K63" s="278"/>
      <c r="L63" s="268"/>
      <c r="M63" s="268"/>
      <c r="N63" s="265"/>
    </row>
    <row r="64" spans="1:14" ht="13.5" thickBot="1">
      <c r="A64" s="279"/>
      <c r="B64" s="282"/>
      <c r="C64" s="280"/>
      <c r="D64" s="281"/>
      <c r="E64" s="282"/>
      <c r="F64" s="281"/>
      <c r="G64" s="282"/>
      <c r="H64" s="282"/>
      <c r="I64" s="282"/>
      <c r="J64" s="282"/>
      <c r="K64" s="282"/>
      <c r="L64" s="282"/>
      <c r="M64" s="282"/>
      <c r="N64" s="283"/>
    </row>
  </sheetData>
  <sheetProtection/>
  <mergeCells count="24">
    <mergeCell ref="C61:G61"/>
    <mergeCell ref="B27:D27"/>
    <mergeCell ref="B43:B44"/>
    <mergeCell ref="C43:D44"/>
    <mergeCell ref="E43:E44"/>
    <mergeCell ref="F43:G44"/>
    <mergeCell ref="E31:F31"/>
    <mergeCell ref="K41:L41"/>
    <mergeCell ref="B3:L3"/>
    <mergeCell ref="B6:M6"/>
    <mergeCell ref="C10:D10"/>
    <mergeCell ref="E10:F10"/>
    <mergeCell ref="F22:G22"/>
    <mergeCell ref="H22:I22"/>
    <mergeCell ref="H43:M43"/>
    <mergeCell ref="H44:I44"/>
    <mergeCell ref="C23:E23"/>
    <mergeCell ref="C24:E24"/>
    <mergeCell ref="E26:F26"/>
    <mergeCell ref="G26:H26"/>
    <mergeCell ref="I26:J26"/>
    <mergeCell ref="J44:L44"/>
    <mergeCell ref="B28:D28"/>
    <mergeCell ref="C31:D31"/>
  </mergeCells>
  <printOptions/>
  <pageMargins left="1.5748031496062993" right="0.5905511811023623" top="0.984251968503937" bottom="0.7874015748031497" header="0.31496062992125984" footer="0.11811023622047245"/>
  <pageSetup fitToHeight="1" fitToWidth="1" horizontalDpi="300" verticalDpi="300" orientation="portrait" paperSize="9" scale="76" r:id="rId1"/>
  <headerFooter alignWithMargins="0">
    <oddFooter>&amp;L&amp;8fonte.: SINAPI, GOIÂNIA, novembro,  2008</oddFooter>
  </headerFooter>
</worksheet>
</file>

<file path=xl/worksheets/sheet4.xml><?xml version="1.0" encoding="utf-8"?>
<worksheet xmlns="http://schemas.openxmlformats.org/spreadsheetml/2006/main" xmlns:r="http://schemas.openxmlformats.org/officeDocument/2006/relationships">
  <sheetPr>
    <tabColor indexed="39"/>
  </sheetPr>
  <dimension ref="A1:AD46"/>
  <sheetViews>
    <sheetView zoomScaleSheetLayoutView="100" zoomScalePageLayoutView="0" workbookViewId="0" topLeftCell="A1">
      <selection activeCell="A10" sqref="A10:H10"/>
    </sheetView>
  </sheetViews>
  <sheetFormatPr defaultColWidth="9.140625" defaultRowHeight="15"/>
  <cols>
    <col min="1" max="1" width="9.140625" style="1" customWidth="1"/>
    <col min="2" max="2" width="27.00390625" style="1" customWidth="1"/>
    <col min="3" max="3" width="23.421875" style="1" customWidth="1"/>
    <col min="4" max="4" width="15.28125" style="1" customWidth="1"/>
    <col min="5" max="5" width="20.57421875" style="1" customWidth="1"/>
    <col min="6" max="6" width="13.28125" style="1" customWidth="1"/>
    <col min="7" max="7" width="7.00390625" style="1" customWidth="1"/>
    <col min="8" max="8" width="10.00390625" style="1" customWidth="1"/>
    <col min="9" max="30" width="9.140625" style="26" customWidth="1"/>
    <col min="31" max="16384" width="9.140625" style="1" customWidth="1"/>
  </cols>
  <sheetData>
    <row r="1" spans="1:30" s="13" customFormat="1" ht="23.25" customHeight="1">
      <c r="A1" s="389" t="s">
        <v>147</v>
      </c>
      <c r="B1" s="390"/>
      <c r="C1" s="390"/>
      <c r="D1" s="390"/>
      <c r="E1" s="390"/>
      <c r="F1" s="390"/>
      <c r="G1" s="390"/>
      <c r="H1" s="391"/>
      <c r="I1" s="190"/>
      <c r="J1" s="190"/>
      <c r="K1" s="190"/>
      <c r="L1" s="190"/>
      <c r="M1" s="190"/>
      <c r="N1" s="190"/>
      <c r="O1" s="190"/>
      <c r="P1" s="190"/>
      <c r="Q1" s="190"/>
      <c r="R1" s="190"/>
      <c r="S1" s="190"/>
      <c r="T1" s="190"/>
      <c r="U1" s="190"/>
      <c r="V1" s="190"/>
      <c r="W1" s="190"/>
      <c r="X1" s="190"/>
      <c r="Y1" s="190"/>
      <c r="Z1" s="190"/>
      <c r="AA1" s="190"/>
      <c r="AB1" s="190"/>
      <c r="AC1" s="190"/>
      <c r="AD1" s="190"/>
    </row>
    <row r="2" spans="1:30" s="13" customFormat="1" ht="36" customHeight="1">
      <c r="A2" s="392" t="s">
        <v>197</v>
      </c>
      <c r="B2" s="393"/>
      <c r="C2" s="31">
        <f>'[2]LANÇ. DADOS'!E15</f>
        <v>186.2</v>
      </c>
      <c r="D2" s="14" t="s">
        <v>7</v>
      </c>
      <c r="E2" s="14" t="s">
        <v>149</v>
      </c>
      <c r="F2" s="394">
        <f>'[4]LANÇ. DADOS'!C15</f>
        <v>1</v>
      </c>
      <c r="G2" s="395"/>
      <c r="H2" s="396"/>
      <c r="I2" s="190"/>
      <c r="J2" s="190"/>
      <c r="K2" s="190"/>
      <c r="L2" s="190"/>
      <c r="M2" s="190"/>
      <c r="N2" s="190"/>
      <c r="O2" s="190"/>
      <c r="P2" s="190"/>
      <c r="Q2" s="190"/>
      <c r="R2" s="190"/>
      <c r="S2" s="190"/>
      <c r="T2" s="190"/>
      <c r="U2" s="190"/>
      <c r="V2" s="190"/>
      <c r="W2" s="190"/>
      <c r="X2" s="190"/>
      <c r="Y2" s="190"/>
      <c r="Z2" s="190"/>
      <c r="AA2" s="190"/>
      <c r="AB2" s="190"/>
      <c r="AC2" s="190"/>
      <c r="AD2" s="190"/>
    </row>
    <row r="3" spans="1:30" s="13" customFormat="1" ht="15" customHeight="1">
      <c r="A3" s="381" t="s">
        <v>570</v>
      </c>
      <c r="B3" s="382"/>
      <c r="C3" s="382"/>
      <c r="D3" s="382"/>
      <c r="E3" s="382"/>
      <c r="F3" s="382"/>
      <c r="G3" s="382"/>
      <c r="H3" s="383"/>
      <c r="I3" s="190"/>
      <c r="J3" s="190"/>
      <c r="K3" s="190"/>
      <c r="L3" s="190"/>
      <c r="M3" s="190"/>
      <c r="N3" s="190"/>
      <c r="O3" s="190"/>
      <c r="P3" s="190"/>
      <c r="Q3" s="190"/>
      <c r="R3" s="190"/>
      <c r="S3" s="190"/>
      <c r="T3" s="190"/>
      <c r="U3" s="190"/>
      <c r="V3" s="190"/>
      <c r="W3" s="190"/>
      <c r="X3" s="190"/>
      <c r="Y3" s="190"/>
      <c r="Z3" s="190"/>
      <c r="AA3" s="190"/>
      <c r="AB3" s="190"/>
      <c r="AC3" s="190"/>
      <c r="AD3" s="190"/>
    </row>
    <row r="4" spans="1:30" s="13" customFormat="1" ht="30" customHeight="1">
      <c r="A4" s="381" t="s">
        <v>571</v>
      </c>
      <c r="B4" s="382"/>
      <c r="C4" s="382"/>
      <c r="D4" s="382"/>
      <c r="E4" s="382"/>
      <c r="F4" s="382"/>
      <c r="G4" s="382"/>
      <c r="H4" s="383"/>
      <c r="I4" s="190"/>
      <c r="J4" s="190"/>
      <c r="K4" s="190"/>
      <c r="L4" s="190"/>
      <c r="M4" s="190"/>
      <c r="N4" s="190"/>
      <c r="O4" s="190"/>
      <c r="P4" s="190"/>
      <c r="Q4" s="190"/>
      <c r="R4" s="190"/>
      <c r="S4" s="190"/>
      <c r="T4" s="190"/>
      <c r="U4" s="190"/>
      <c r="V4" s="190"/>
      <c r="W4" s="190"/>
      <c r="X4" s="190"/>
      <c r="Y4" s="190"/>
      <c r="Z4" s="190"/>
      <c r="AA4" s="190"/>
      <c r="AB4" s="190"/>
      <c r="AC4" s="190"/>
      <c r="AD4" s="190"/>
    </row>
    <row r="5" spans="1:30" s="13" customFormat="1" ht="15.75" customHeight="1">
      <c r="A5" s="397" t="s">
        <v>150</v>
      </c>
      <c r="B5" s="398"/>
      <c r="C5" s="399"/>
      <c r="D5" s="400"/>
      <c r="E5" s="401"/>
      <c r="F5" s="403"/>
      <c r="G5" s="404"/>
      <c r="H5" s="405"/>
      <c r="I5" s="190"/>
      <c r="J5" s="190"/>
      <c r="K5" s="190"/>
      <c r="L5" s="190"/>
      <c r="M5" s="190"/>
      <c r="N5" s="190"/>
      <c r="O5" s="190"/>
      <c r="P5" s="190"/>
      <c r="Q5" s="190"/>
      <c r="R5" s="190"/>
      <c r="S5" s="190"/>
      <c r="T5" s="190"/>
      <c r="U5" s="190"/>
      <c r="V5" s="190"/>
      <c r="W5" s="190"/>
      <c r="X5" s="190"/>
      <c r="Y5" s="190"/>
      <c r="Z5" s="190"/>
      <c r="AA5" s="190"/>
      <c r="AB5" s="190"/>
      <c r="AC5" s="190"/>
      <c r="AD5" s="190"/>
    </row>
    <row r="6" spans="1:30" s="13" customFormat="1" ht="20.25" customHeight="1" thickBot="1">
      <c r="A6" s="15"/>
      <c r="B6" s="16" t="s">
        <v>151</v>
      </c>
      <c r="C6" s="17"/>
      <c r="D6" s="17"/>
      <c r="E6" s="28"/>
      <c r="F6" s="406" t="s">
        <v>198</v>
      </c>
      <c r="G6" s="407"/>
      <c r="H6" s="18">
        <f>'LDI - BDI'!$C$26</f>
        <v>0.2114879980079678</v>
      </c>
      <c r="I6" s="190"/>
      <c r="J6" s="190"/>
      <c r="K6" s="190"/>
      <c r="L6" s="190"/>
      <c r="M6" s="190"/>
      <c r="N6" s="190"/>
      <c r="O6" s="190"/>
      <c r="P6" s="190"/>
      <c r="Q6" s="190"/>
      <c r="R6" s="190"/>
      <c r="S6" s="190"/>
      <c r="T6" s="190"/>
      <c r="U6" s="190"/>
      <c r="V6" s="190"/>
      <c r="W6" s="190"/>
      <c r="X6" s="190"/>
      <c r="Y6" s="190"/>
      <c r="Z6" s="190"/>
      <c r="AA6" s="190"/>
      <c r="AB6" s="190"/>
      <c r="AC6" s="190"/>
      <c r="AD6" s="190"/>
    </row>
    <row r="7" spans="1:8" ht="21.75" customHeight="1">
      <c r="A7" s="408" t="s">
        <v>199</v>
      </c>
      <c r="B7" s="408"/>
      <c r="C7" s="408"/>
      <c r="D7" s="408"/>
      <c r="E7" s="408"/>
      <c r="F7" s="408"/>
      <c r="G7" s="408"/>
      <c r="H7" s="408"/>
    </row>
    <row r="8" spans="1:6" ht="12.75">
      <c r="A8" s="19"/>
      <c r="B8" s="19"/>
      <c r="C8" s="20"/>
      <c r="D8" s="19"/>
      <c r="E8" s="19"/>
      <c r="F8" s="21"/>
    </row>
    <row r="9" spans="1:8" ht="19.5" customHeight="1">
      <c r="A9" s="387" t="s">
        <v>200</v>
      </c>
      <c r="B9" s="387"/>
      <c r="C9" s="387"/>
      <c r="D9" s="387"/>
      <c r="E9" s="387"/>
      <c r="F9" s="387"/>
      <c r="G9" s="387"/>
      <c r="H9" s="387"/>
    </row>
    <row r="10" spans="1:8" ht="165" customHeight="1">
      <c r="A10" s="412" t="s">
        <v>201</v>
      </c>
      <c r="B10" s="412"/>
      <c r="C10" s="412"/>
      <c r="D10" s="412"/>
      <c r="E10" s="412"/>
      <c r="F10" s="412"/>
      <c r="G10" s="412"/>
      <c r="H10" s="412"/>
    </row>
    <row r="11" ht="13.5" thickBot="1"/>
    <row r="12" spans="1:4" ht="13.5" thickBot="1">
      <c r="A12" s="187" t="s">
        <v>153</v>
      </c>
      <c r="B12" s="188" t="s">
        <v>202</v>
      </c>
      <c r="C12" s="189" t="s">
        <v>203</v>
      </c>
      <c r="D12" s="11"/>
    </row>
    <row r="13" spans="1:4" ht="13.5" thickTop="1">
      <c r="A13" s="184"/>
      <c r="B13" s="185"/>
      <c r="C13" s="186" t="s">
        <v>541</v>
      </c>
      <c r="D13" s="11"/>
    </row>
    <row r="14" spans="1:4" ht="12.75">
      <c r="A14" s="178">
        <v>1</v>
      </c>
      <c r="B14" s="157" t="s">
        <v>204</v>
      </c>
      <c r="C14" s="179">
        <f>C15+C16</f>
        <v>0.0205</v>
      </c>
      <c r="D14" s="22"/>
    </row>
    <row r="15" spans="1:5" ht="12.75">
      <c r="A15" s="192" t="s">
        <v>6</v>
      </c>
      <c r="B15" s="176" t="s">
        <v>205</v>
      </c>
      <c r="C15" s="180">
        <v>0.0155</v>
      </c>
      <c r="D15" s="29"/>
      <c r="E15" s="30" t="s">
        <v>552</v>
      </c>
    </row>
    <row r="16" spans="1:8" ht="12.75">
      <c r="A16" s="177" t="s">
        <v>106</v>
      </c>
      <c r="B16" s="176" t="s">
        <v>206</v>
      </c>
      <c r="C16" s="180">
        <v>0.005</v>
      </c>
      <c r="D16" s="22"/>
      <c r="E16" s="402" t="s">
        <v>551</v>
      </c>
      <c r="F16" s="402"/>
      <c r="G16" s="402"/>
      <c r="H16" s="402"/>
    </row>
    <row r="17" spans="1:8" ht="12.75">
      <c r="A17" s="178">
        <v>2</v>
      </c>
      <c r="B17" s="157" t="s">
        <v>207</v>
      </c>
      <c r="C17" s="180">
        <v>0.015</v>
      </c>
      <c r="D17" s="22"/>
      <c r="E17" s="402"/>
      <c r="F17" s="402"/>
      <c r="G17" s="402"/>
      <c r="H17" s="402"/>
    </row>
    <row r="18" spans="1:4" ht="12.75">
      <c r="A18" s="178">
        <v>3</v>
      </c>
      <c r="B18" s="157" t="s">
        <v>208</v>
      </c>
      <c r="C18" s="180">
        <v>0.0275</v>
      </c>
      <c r="D18" s="22"/>
    </row>
    <row r="19" spans="1:9" ht="12.75" customHeight="1">
      <c r="A19" s="178">
        <v>4</v>
      </c>
      <c r="B19" s="157" t="s">
        <v>209</v>
      </c>
      <c r="C19" s="179">
        <f>SUM(C20:C22)</f>
        <v>0.0665</v>
      </c>
      <c r="D19" s="22"/>
      <c r="E19" s="388" t="s">
        <v>553</v>
      </c>
      <c r="F19" s="388"/>
      <c r="G19" s="388"/>
      <c r="H19" s="388"/>
      <c r="I19" s="193"/>
    </row>
    <row r="20" spans="1:9" ht="12.75">
      <c r="A20" s="177" t="s">
        <v>210</v>
      </c>
      <c r="B20" s="176" t="s">
        <v>211</v>
      </c>
      <c r="C20" s="179">
        <v>0.0065</v>
      </c>
      <c r="D20" s="22"/>
      <c r="E20" s="388"/>
      <c r="F20" s="388"/>
      <c r="G20" s="388"/>
      <c r="H20" s="388"/>
      <c r="I20" s="193"/>
    </row>
    <row r="21" spans="1:9" ht="12.75">
      <c r="A21" s="177" t="s">
        <v>212</v>
      </c>
      <c r="B21" s="176" t="s">
        <v>213</v>
      </c>
      <c r="C21" s="179">
        <v>0.03</v>
      </c>
      <c r="D21" s="22"/>
      <c r="E21" s="388"/>
      <c r="F21" s="388"/>
      <c r="G21" s="388"/>
      <c r="H21" s="388"/>
      <c r="I21" s="193"/>
    </row>
    <row r="22" spans="1:9" ht="12.75">
      <c r="A22" s="177" t="s">
        <v>214</v>
      </c>
      <c r="B22" s="176" t="s">
        <v>215</v>
      </c>
      <c r="C22" s="180">
        <v>0.03</v>
      </c>
      <c r="D22" s="22"/>
      <c r="E22" s="388"/>
      <c r="F22" s="388"/>
      <c r="G22" s="388"/>
      <c r="H22" s="388"/>
      <c r="I22" s="193"/>
    </row>
    <row r="23" spans="1:9" ht="12.75">
      <c r="A23" s="178">
        <v>5</v>
      </c>
      <c r="B23" s="157" t="s">
        <v>216</v>
      </c>
      <c r="C23" s="180">
        <v>0</v>
      </c>
      <c r="D23" s="22"/>
      <c r="E23" s="193"/>
      <c r="F23" s="193"/>
      <c r="G23" s="193"/>
      <c r="H23" s="193"/>
      <c r="I23" s="193"/>
    </row>
    <row r="24" spans="1:4" ht="12.75">
      <c r="A24" s="178">
        <v>6</v>
      </c>
      <c r="B24" s="157" t="s">
        <v>217</v>
      </c>
      <c r="C24" s="180">
        <v>0.055</v>
      </c>
      <c r="D24" s="22"/>
    </row>
    <row r="25" spans="1:4" ht="12.75">
      <c r="A25" s="181"/>
      <c r="B25" s="10"/>
      <c r="C25" s="182"/>
      <c r="D25" s="10"/>
    </row>
    <row r="26" spans="1:4" ht="13.5" thickBot="1">
      <c r="A26" s="413" t="s">
        <v>218</v>
      </c>
      <c r="B26" s="414"/>
      <c r="C26" s="183">
        <f>(((1+C14)*(1+C17)*(1+C18)/(1-(C19+C23+C24)))-1)</f>
        <v>0.2114879980079678</v>
      </c>
      <c r="D26" s="23"/>
    </row>
    <row r="27" ht="7.5" customHeight="1" thickBot="1"/>
    <row r="28" spans="1:30" s="24" customFormat="1" ht="12.75">
      <c r="A28" s="384" t="s">
        <v>219</v>
      </c>
      <c r="B28" s="415"/>
      <c r="C28" s="415"/>
      <c r="D28" s="415"/>
      <c r="E28" s="415"/>
      <c r="F28" s="416"/>
      <c r="I28" s="191"/>
      <c r="J28" s="191"/>
      <c r="K28" s="191"/>
      <c r="L28" s="191"/>
      <c r="M28" s="191"/>
      <c r="N28" s="191"/>
      <c r="O28" s="191"/>
      <c r="P28" s="191"/>
      <c r="Q28" s="191"/>
      <c r="R28" s="191"/>
      <c r="S28" s="191"/>
      <c r="T28" s="191"/>
      <c r="U28" s="191"/>
      <c r="V28" s="191"/>
      <c r="W28" s="191"/>
      <c r="X28" s="191"/>
      <c r="Y28" s="191"/>
      <c r="Z28" s="191"/>
      <c r="AA28" s="191"/>
      <c r="AB28" s="191"/>
      <c r="AC28" s="191"/>
      <c r="AD28" s="191"/>
    </row>
    <row r="29" spans="1:30" s="24" customFormat="1" ht="30" customHeight="1" thickBot="1">
      <c r="A29" s="409" t="s">
        <v>542</v>
      </c>
      <c r="B29" s="410"/>
      <c r="C29" s="410"/>
      <c r="D29" s="410"/>
      <c r="E29" s="410"/>
      <c r="F29" s="411"/>
      <c r="I29" s="191"/>
      <c r="J29" s="191"/>
      <c r="K29" s="191"/>
      <c r="L29" s="191"/>
      <c r="M29" s="191"/>
      <c r="N29" s="191"/>
      <c r="O29" s="191"/>
      <c r="P29" s="191"/>
      <c r="Q29" s="191"/>
      <c r="R29" s="191"/>
      <c r="S29" s="191"/>
      <c r="T29" s="191"/>
      <c r="U29" s="191"/>
      <c r="V29" s="191"/>
      <c r="W29" s="191"/>
      <c r="X29" s="191"/>
      <c r="Y29" s="191"/>
      <c r="Z29" s="191"/>
      <c r="AA29" s="191"/>
      <c r="AB29" s="191"/>
      <c r="AC29" s="191"/>
      <c r="AD29" s="191"/>
    </row>
    <row r="30" spans="1:30" s="24" customFormat="1" ht="12.75">
      <c r="A30" s="384" t="s">
        <v>220</v>
      </c>
      <c r="B30" s="415"/>
      <c r="C30" s="415"/>
      <c r="D30" s="415"/>
      <c r="E30" s="415"/>
      <c r="F30" s="416"/>
      <c r="I30" s="191"/>
      <c r="J30" s="191"/>
      <c r="K30" s="191"/>
      <c r="L30" s="191"/>
      <c r="M30" s="191"/>
      <c r="N30" s="191"/>
      <c r="O30" s="191"/>
      <c r="P30" s="191"/>
      <c r="Q30" s="191"/>
      <c r="R30" s="191"/>
      <c r="S30" s="191"/>
      <c r="T30" s="191"/>
      <c r="U30" s="191"/>
      <c r="V30" s="191"/>
      <c r="W30" s="191"/>
      <c r="X30" s="191"/>
      <c r="Y30" s="191"/>
      <c r="Z30" s="191"/>
      <c r="AA30" s="191"/>
      <c r="AB30" s="191"/>
      <c r="AC30" s="191"/>
      <c r="AD30" s="191"/>
    </row>
    <row r="31" spans="1:30" s="24" customFormat="1" ht="26.25" customHeight="1" thickBot="1">
      <c r="A31" s="409" t="s">
        <v>417</v>
      </c>
      <c r="B31" s="410"/>
      <c r="C31" s="410"/>
      <c r="D31" s="410"/>
      <c r="E31" s="410"/>
      <c r="F31" s="411"/>
      <c r="I31" s="191"/>
      <c r="J31" s="191"/>
      <c r="K31" s="191"/>
      <c r="L31" s="191"/>
      <c r="M31" s="191"/>
      <c r="N31" s="191"/>
      <c r="O31" s="191"/>
      <c r="P31" s="191"/>
      <c r="Q31" s="191"/>
      <c r="R31" s="191"/>
      <c r="S31" s="191"/>
      <c r="T31" s="191"/>
      <c r="U31" s="191"/>
      <c r="V31" s="191"/>
      <c r="W31" s="191"/>
      <c r="X31" s="191"/>
      <c r="Y31" s="191"/>
      <c r="Z31" s="191"/>
      <c r="AA31" s="191"/>
      <c r="AB31" s="191"/>
      <c r="AC31" s="191"/>
      <c r="AD31" s="191"/>
    </row>
    <row r="32" spans="1:30" s="24" customFormat="1" ht="12.75">
      <c r="A32" s="384" t="s">
        <v>543</v>
      </c>
      <c r="B32" s="415"/>
      <c r="C32" s="415"/>
      <c r="D32" s="415"/>
      <c r="E32" s="415"/>
      <c r="F32" s="416"/>
      <c r="I32" s="191"/>
      <c r="J32" s="191"/>
      <c r="K32" s="191"/>
      <c r="L32" s="191"/>
      <c r="M32" s="191"/>
      <c r="N32" s="191"/>
      <c r="O32" s="191"/>
      <c r="P32" s="191"/>
      <c r="Q32" s="191"/>
      <c r="R32" s="191"/>
      <c r="S32" s="191"/>
      <c r="T32" s="191"/>
      <c r="U32" s="191"/>
      <c r="V32" s="191"/>
      <c r="W32" s="191"/>
      <c r="X32" s="191"/>
      <c r="Y32" s="191"/>
      <c r="Z32" s="191"/>
      <c r="AA32" s="191"/>
      <c r="AB32" s="191"/>
      <c r="AC32" s="191"/>
      <c r="AD32" s="191"/>
    </row>
    <row r="33" spans="1:30" s="24" customFormat="1" ht="26.25" customHeight="1" thickBot="1">
      <c r="A33" s="409" t="s">
        <v>221</v>
      </c>
      <c r="B33" s="410"/>
      <c r="C33" s="410"/>
      <c r="D33" s="410"/>
      <c r="E33" s="410"/>
      <c r="F33" s="411"/>
      <c r="I33" s="191"/>
      <c r="J33" s="191"/>
      <c r="K33" s="191"/>
      <c r="L33" s="191"/>
      <c r="M33" s="191"/>
      <c r="N33" s="191"/>
      <c r="O33" s="191"/>
      <c r="P33" s="191"/>
      <c r="Q33" s="191"/>
      <c r="R33" s="191"/>
      <c r="S33" s="191"/>
      <c r="T33" s="191"/>
      <c r="U33" s="191"/>
      <c r="V33" s="191"/>
      <c r="W33" s="191"/>
      <c r="X33" s="191"/>
      <c r="Y33" s="191"/>
      <c r="Z33" s="191"/>
      <c r="AA33" s="191"/>
      <c r="AB33" s="191"/>
      <c r="AC33" s="191"/>
      <c r="AD33" s="191"/>
    </row>
    <row r="34" spans="1:30" s="24" customFormat="1" ht="15.75" customHeight="1">
      <c r="A34" s="384" t="s">
        <v>544</v>
      </c>
      <c r="B34" s="385"/>
      <c r="C34" s="385"/>
      <c r="D34" s="385"/>
      <c r="E34" s="385"/>
      <c r="F34" s="386"/>
      <c r="I34" s="191"/>
      <c r="J34" s="191"/>
      <c r="K34" s="191"/>
      <c r="L34" s="191"/>
      <c r="M34" s="191"/>
      <c r="N34" s="191"/>
      <c r="O34" s="191"/>
      <c r="P34" s="191"/>
      <c r="Q34" s="191"/>
      <c r="R34" s="191"/>
      <c r="S34" s="191"/>
      <c r="T34" s="191"/>
      <c r="U34" s="191"/>
      <c r="V34" s="191"/>
      <c r="W34" s="191"/>
      <c r="X34" s="191"/>
      <c r="Y34" s="191"/>
      <c r="Z34" s="191"/>
      <c r="AA34" s="191"/>
      <c r="AB34" s="191"/>
      <c r="AC34" s="191"/>
      <c r="AD34" s="191"/>
    </row>
    <row r="35" spans="1:30" s="24" customFormat="1" ht="38.25" customHeight="1" thickBot="1">
      <c r="A35" s="409" t="s">
        <v>418</v>
      </c>
      <c r="B35" s="410"/>
      <c r="C35" s="410"/>
      <c r="D35" s="410"/>
      <c r="E35" s="410"/>
      <c r="F35" s="411"/>
      <c r="I35" s="191"/>
      <c r="J35" s="191"/>
      <c r="K35" s="191"/>
      <c r="L35" s="191"/>
      <c r="M35" s="191"/>
      <c r="N35" s="191"/>
      <c r="O35" s="191"/>
      <c r="P35" s="191"/>
      <c r="Q35" s="191"/>
      <c r="R35" s="191"/>
      <c r="S35" s="191"/>
      <c r="T35" s="191"/>
      <c r="U35" s="191"/>
      <c r="V35" s="191"/>
      <c r="W35" s="191"/>
      <c r="X35" s="191"/>
      <c r="Y35" s="191"/>
      <c r="Z35" s="191"/>
      <c r="AA35" s="191"/>
      <c r="AB35" s="191"/>
      <c r="AC35" s="191"/>
      <c r="AD35" s="191"/>
    </row>
    <row r="36" spans="1:30" s="24" customFormat="1" ht="16.5" customHeight="1">
      <c r="A36" s="384" t="s">
        <v>545</v>
      </c>
      <c r="B36" s="385"/>
      <c r="C36" s="385"/>
      <c r="D36" s="385"/>
      <c r="E36" s="385"/>
      <c r="F36" s="386"/>
      <c r="I36" s="191"/>
      <c r="J36" s="191"/>
      <c r="K36" s="191"/>
      <c r="L36" s="191"/>
      <c r="M36" s="191"/>
      <c r="N36" s="191"/>
      <c r="O36" s="191"/>
      <c r="P36" s="191"/>
      <c r="Q36" s="191"/>
      <c r="R36" s="191"/>
      <c r="S36" s="191"/>
      <c r="T36" s="191"/>
      <c r="U36" s="191"/>
      <c r="V36" s="191"/>
      <c r="W36" s="191"/>
      <c r="X36" s="191"/>
      <c r="Y36" s="191"/>
      <c r="Z36" s="191"/>
      <c r="AA36" s="191"/>
      <c r="AB36" s="191"/>
      <c r="AC36" s="191"/>
      <c r="AD36" s="191"/>
    </row>
    <row r="37" spans="1:30" s="24" customFormat="1" ht="39" customHeight="1" thickBot="1">
      <c r="A37" s="409" t="s">
        <v>546</v>
      </c>
      <c r="B37" s="410"/>
      <c r="C37" s="410"/>
      <c r="D37" s="410"/>
      <c r="E37" s="410"/>
      <c r="F37" s="411"/>
      <c r="I37" s="191"/>
      <c r="J37" s="191"/>
      <c r="K37" s="191"/>
      <c r="L37" s="191"/>
      <c r="M37" s="191"/>
      <c r="N37" s="191"/>
      <c r="O37" s="191"/>
      <c r="P37" s="191"/>
      <c r="Q37" s="191"/>
      <c r="R37" s="191"/>
      <c r="S37" s="191"/>
      <c r="T37" s="191"/>
      <c r="U37" s="191"/>
      <c r="V37" s="191"/>
      <c r="W37" s="191"/>
      <c r="X37" s="191"/>
      <c r="Y37" s="191"/>
      <c r="Z37" s="191"/>
      <c r="AA37" s="191"/>
      <c r="AB37" s="191"/>
      <c r="AC37" s="191"/>
      <c r="AD37" s="191"/>
    </row>
    <row r="38" spans="1:6" ht="12.75">
      <c r="A38" s="384" t="s">
        <v>222</v>
      </c>
      <c r="B38" s="385"/>
      <c r="C38" s="385"/>
      <c r="D38" s="385"/>
      <c r="E38" s="385"/>
      <c r="F38" s="386"/>
    </row>
    <row r="39" spans="1:6" ht="17.25" customHeight="1" thickBot="1">
      <c r="A39" s="409" t="s">
        <v>548</v>
      </c>
      <c r="B39" s="410"/>
      <c r="C39" s="410"/>
      <c r="D39" s="410"/>
      <c r="E39" s="410"/>
      <c r="F39" s="411"/>
    </row>
    <row r="40" spans="1:6" ht="12.75">
      <c r="A40" s="384" t="s">
        <v>223</v>
      </c>
      <c r="B40" s="385"/>
      <c r="C40" s="385"/>
      <c r="D40" s="385"/>
      <c r="E40" s="385"/>
      <c r="F40" s="386"/>
    </row>
    <row r="41" spans="1:6" ht="24.75" customHeight="1" thickBot="1">
      <c r="A41" s="409" t="s">
        <v>549</v>
      </c>
      <c r="B41" s="410"/>
      <c r="C41" s="410"/>
      <c r="D41" s="410"/>
      <c r="E41" s="410"/>
      <c r="F41" s="411"/>
    </row>
    <row r="42" spans="1:6" ht="12.75">
      <c r="A42" s="384" t="s">
        <v>224</v>
      </c>
      <c r="B42" s="385"/>
      <c r="C42" s="385"/>
      <c r="D42" s="385"/>
      <c r="E42" s="385"/>
      <c r="F42" s="386"/>
    </row>
    <row r="43" spans="1:6" ht="38.25" customHeight="1" thickBot="1">
      <c r="A43" s="409" t="s">
        <v>547</v>
      </c>
      <c r="B43" s="410"/>
      <c r="C43" s="410"/>
      <c r="D43" s="410"/>
      <c r="E43" s="410"/>
      <c r="F43" s="411"/>
    </row>
    <row r="44" spans="1:6" ht="12.75">
      <c r="A44" s="384" t="s">
        <v>225</v>
      </c>
      <c r="B44" s="385"/>
      <c r="C44" s="385"/>
      <c r="D44" s="385"/>
      <c r="E44" s="385"/>
      <c r="F44" s="386"/>
    </row>
    <row r="45" spans="1:6" ht="51.75" customHeight="1" thickBot="1">
      <c r="A45" s="409" t="s">
        <v>550</v>
      </c>
      <c r="B45" s="410"/>
      <c r="C45" s="410"/>
      <c r="D45" s="410"/>
      <c r="E45" s="410"/>
      <c r="F45" s="411"/>
    </row>
    <row r="46" spans="1:6" ht="12.75">
      <c r="A46" s="417"/>
      <c r="B46" s="417"/>
      <c r="C46" s="417"/>
      <c r="D46" s="417"/>
      <c r="E46" s="417"/>
      <c r="F46" s="417"/>
    </row>
  </sheetData>
  <sheetProtection formatCells="0" formatColumns="0" formatRows="0"/>
  <protectedRanges>
    <protectedRange sqref="C22:C24" name="Intervalo2_1"/>
    <protectedRange sqref="C15:C18" name="Intervalo1_1"/>
  </protectedRanges>
  <mergeCells count="34">
    <mergeCell ref="A45:F45"/>
    <mergeCell ref="A46:F46"/>
    <mergeCell ref="A38:F38"/>
    <mergeCell ref="A39:F39"/>
    <mergeCell ref="A40:F40"/>
    <mergeCell ref="A41:F41"/>
    <mergeCell ref="A42:F42"/>
    <mergeCell ref="A43:F43"/>
    <mergeCell ref="A30:F30"/>
    <mergeCell ref="A31:F31"/>
    <mergeCell ref="A32:F32"/>
    <mergeCell ref="A33:F33"/>
    <mergeCell ref="A35:F35"/>
    <mergeCell ref="A44:F44"/>
    <mergeCell ref="E16:H17"/>
    <mergeCell ref="F5:H5"/>
    <mergeCell ref="F6:G6"/>
    <mergeCell ref="A7:H7"/>
    <mergeCell ref="A3:H3"/>
    <mergeCell ref="A37:F37"/>
    <mergeCell ref="A10:H10"/>
    <mergeCell ref="A26:B26"/>
    <mergeCell ref="A28:F28"/>
    <mergeCell ref="A29:F29"/>
    <mergeCell ref="A4:H4"/>
    <mergeCell ref="A34:F34"/>
    <mergeCell ref="A36:F36"/>
    <mergeCell ref="A9:H9"/>
    <mergeCell ref="E19:H22"/>
    <mergeCell ref="A1:H1"/>
    <mergeCell ref="A2:B2"/>
    <mergeCell ref="F2:H2"/>
    <mergeCell ref="A5:B5"/>
    <mergeCell ref="C5:E5"/>
  </mergeCells>
  <printOptions horizontalCentered="1"/>
  <pageMargins left="0.5905511811023623" right="0.5905511811023623" top="0.5905511811023623" bottom="0.5905511811023623" header="0.1968503937007874" footer="0.1968503937007874"/>
  <pageSetup horizontalDpi="1200" verticalDpi="1200" orientation="portrait" paperSize="9" scale="74" r:id="rId3"/>
  <ignoredErrors>
    <ignoredError sqref="C19" formulaRange="1"/>
  </ignoredErrors>
  <legacyDrawing r:id="rId2"/>
  <oleObjects>
    <oleObject progId="Equation.3" shapeId="1217560" r:id="rId1"/>
  </oleObjects>
</worksheet>
</file>

<file path=xl/worksheets/sheet5.xml><?xml version="1.0" encoding="utf-8"?>
<worksheet xmlns="http://schemas.openxmlformats.org/spreadsheetml/2006/main" xmlns:r="http://schemas.openxmlformats.org/officeDocument/2006/relationships">
  <dimension ref="A1:M57"/>
  <sheetViews>
    <sheetView zoomScaleSheetLayoutView="75" zoomScalePageLayoutView="0" workbookViewId="0" topLeftCell="A1">
      <selection activeCell="D12" sqref="D12:D13"/>
    </sheetView>
  </sheetViews>
  <sheetFormatPr defaultColWidth="9.140625" defaultRowHeight="15"/>
  <cols>
    <col min="1" max="1" width="9.140625" style="1" customWidth="1"/>
    <col min="2" max="2" width="6.57421875" style="10" customWidth="1"/>
    <col min="3" max="3" width="46.7109375" style="1" customWidth="1"/>
    <col min="4" max="5" width="12.7109375" style="1" customWidth="1"/>
    <col min="6" max="6" width="12.57421875" style="1" customWidth="1"/>
    <col min="7" max="7" width="12.00390625" style="1" customWidth="1"/>
    <col min="8" max="9" width="12.7109375" style="1" customWidth="1"/>
    <col min="10" max="10" width="13.00390625" style="1" customWidth="1"/>
    <col min="11" max="12" width="9.140625" style="1" customWidth="1"/>
    <col min="13" max="13" width="10.8515625" style="1" bestFit="1" customWidth="1"/>
    <col min="14" max="16384" width="9.140625" style="1" customWidth="1"/>
  </cols>
  <sheetData>
    <row r="1" spans="1:11" ht="12.75">
      <c r="A1" s="226"/>
      <c r="B1" s="227"/>
      <c r="C1" s="227"/>
      <c r="D1" s="227"/>
      <c r="E1" s="227"/>
      <c r="F1" s="227"/>
      <c r="G1" s="227"/>
      <c r="H1" s="227"/>
      <c r="I1" s="227"/>
      <c r="J1" s="227"/>
      <c r="K1" s="217"/>
    </row>
    <row r="2" spans="1:11" ht="15" customHeight="1">
      <c r="A2" s="181"/>
      <c r="B2" s="418" t="s">
        <v>416</v>
      </c>
      <c r="C2" s="418"/>
      <c r="D2" s="418"/>
      <c r="E2" s="418"/>
      <c r="F2" s="418"/>
      <c r="G2" s="418"/>
      <c r="H2" s="418"/>
      <c r="I2" s="418"/>
      <c r="J2" s="418"/>
      <c r="K2" s="218"/>
    </row>
    <row r="3" spans="1:11" ht="15" customHeight="1">
      <c r="A3" s="181"/>
      <c r="C3" s="418" t="s">
        <v>540</v>
      </c>
      <c r="D3" s="418"/>
      <c r="E3" s="418"/>
      <c r="F3" s="418"/>
      <c r="G3" s="418"/>
      <c r="H3" s="418"/>
      <c r="I3" s="418"/>
      <c r="J3" s="418"/>
      <c r="K3" s="218"/>
    </row>
    <row r="4" spans="1:11" ht="26.25" customHeight="1">
      <c r="A4" s="181"/>
      <c r="B4" s="225" t="s">
        <v>161</v>
      </c>
      <c r="C4" s="419" t="s">
        <v>566</v>
      </c>
      <c r="D4" s="420"/>
      <c r="E4" s="420"/>
      <c r="F4" s="420"/>
      <c r="G4" s="420"/>
      <c r="H4" s="420"/>
      <c r="I4" s="420"/>
      <c r="J4" s="420"/>
      <c r="K4" s="218"/>
    </row>
    <row r="5" spans="1:11" ht="12.75">
      <c r="A5" s="181"/>
      <c r="C5" s="10"/>
      <c r="D5" s="10"/>
      <c r="E5" s="10"/>
      <c r="F5" s="10"/>
      <c r="G5" s="10"/>
      <c r="H5" s="10"/>
      <c r="I5" s="10"/>
      <c r="J5" s="10"/>
      <c r="K5" s="218"/>
    </row>
    <row r="6" spans="1:11" ht="12.75">
      <c r="A6" s="181"/>
      <c r="B6" s="25" t="s">
        <v>162</v>
      </c>
      <c r="C6" s="219" t="s">
        <v>565</v>
      </c>
      <c r="D6" s="10"/>
      <c r="E6" s="10"/>
      <c r="F6" s="12" t="s">
        <v>163</v>
      </c>
      <c r="G6" s="220">
        <f>'LDI - BDI'!C26</f>
        <v>0.2114879980079678</v>
      </c>
      <c r="H6" s="10"/>
      <c r="I6" s="10"/>
      <c r="J6" s="10"/>
      <c r="K6" s="218"/>
    </row>
    <row r="7" spans="1:11" ht="12.75">
      <c r="A7" s="181"/>
      <c r="C7" s="10"/>
      <c r="D7" s="10"/>
      <c r="E7" s="10"/>
      <c r="F7" s="12" t="s">
        <v>164</v>
      </c>
      <c r="G7" s="11" t="s">
        <v>165</v>
      </c>
      <c r="H7" s="10"/>
      <c r="I7" s="10"/>
      <c r="J7" s="10"/>
      <c r="K7" s="218"/>
    </row>
    <row r="8" spans="1:11" ht="12.75">
      <c r="A8" s="181"/>
      <c r="C8" s="421" t="s">
        <v>567</v>
      </c>
      <c r="D8" s="421"/>
      <c r="E8" s="421"/>
      <c r="F8" s="421"/>
      <c r="G8" s="421"/>
      <c r="H8" s="421"/>
      <c r="I8" s="421"/>
      <c r="J8" s="7"/>
      <c r="K8" s="218"/>
    </row>
    <row r="9" spans="1:11" ht="12.75">
      <c r="A9" s="181"/>
      <c r="C9" s="209"/>
      <c r="D9" s="209"/>
      <c r="E9" s="209"/>
      <c r="F9" s="209"/>
      <c r="G9" s="209"/>
      <c r="H9" s="209"/>
      <c r="I9" s="207"/>
      <c r="J9" s="208"/>
      <c r="K9" s="218"/>
    </row>
    <row r="10" spans="1:11" ht="12.75">
      <c r="A10" s="181"/>
      <c r="B10" s="422" t="s">
        <v>153</v>
      </c>
      <c r="C10" s="422" t="s">
        <v>166</v>
      </c>
      <c r="D10" s="424" t="s">
        <v>167</v>
      </c>
      <c r="E10" s="425"/>
      <c r="F10" s="425"/>
      <c r="G10" s="425"/>
      <c r="H10" s="425"/>
      <c r="I10" s="426"/>
      <c r="J10" s="422" t="s">
        <v>4</v>
      </c>
      <c r="K10" s="218"/>
    </row>
    <row r="11" spans="1:11" ht="12.75">
      <c r="A11" s="181"/>
      <c r="B11" s="423"/>
      <c r="C11" s="423"/>
      <c r="D11" s="2" t="s">
        <v>168</v>
      </c>
      <c r="E11" s="2" t="s">
        <v>169</v>
      </c>
      <c r="F11" s="2" t="s">
        <v>170</v>
      </c>
      <c r="G11" s="2" t="s">
        <v>171</v>
      </c>
      <c r="H11" s="2" t="s">
        <v>172</v>
      </c>
      <c r="I11" s="2" t="s">
        <v>173</v>
      </c>
      <c r="J11" s="423"/>
      <c r="K11" s="218"/>
    </row>
    <row r="12" spans="1:11" ht="12.75">
      <c r="A12" s="181"/>
      <c r="B12" s="427">
        <v>1</v>
      </c>
      <c r="C12" s="429" t="s">
        <v>194</v>
      </c>
      <c r="D12" s="431">
        <f>'Placa de obra'!G63</f>
        <v>0</v>
      </c>
      <c r="E12" s="433"/>
      <c r="F12" s="434"/>
      <c r="G12" s="434"/>
      <c r="H12" s="434"/>
      <c r="I12" s="435"/>
      <c r="J12" s="431">
        <f>D12</f>
        <v>0</v>
      </c>
      <c r="K12" s="218"/>
    </row>
    <row r="13" spans="1:11" ht="12.75">
      <c r="A13" s="181"/>
      <c r="B13" s="428"/>
      <c r="C13" s="430"/>
      <c r="D13" s="432"/>
      <c r="E13" s="436"/>
      <c r="F13" s="437"/>
      <c r="G13" s="437"/>
      <c r="H13" s="437"/>
      <c r="I13" s="438"/>
      <c r="J13" s="439"/>
      <c r="K13" s="218"/>
    </row>
    <row r="14" spans="1:11" ht="12.75">
      <c r="A14" s="181"/>
      <c r="B14" s="427">
        <v>2</v>
      </c>
      <c r="C14" s="429" t="s">
        <v>174</v>
      </c>
      <c r="D14" s="195">
        <f>'CASA 2Q'!H10*$J$8</f>
        <v>0</v>
      </c>
      <c r="E14" s="195"/>
      <c r="F14" s="195"/>
      <c r="G14" s="195"/>
      <c r="H14" s="195"/>
      <c r="I14" s="195"/>
      <c r="J14" s="440">
        <f>SUM(D14:I14)</f>
        <v>0</v>
      </c>
      <c r="K14" s="218"/>
    </row>
    <row r="15" spans="1:11" ht="12.75">
      <c r="A15" s="181"/>
      <c r="B15" s="428"/>
      <c r="C15" s="430"/>
      <c r="D15" s="196"/>
      <c r="E15" s="196"/>
      <c r="F15" s="196"/>
      <c r="G15" s="196"/>
      <c r="H15" s="196"/>
      <c r="I15" s="196"/>
      <c r="J15" s="441"/>
      <c r="K15" s="218"/>
    </row>
    <row r="16" spans="1:11" ht="12.75">
      <c r="A16" s="181"/>
      <c r="B16" s="427">
        <v>3</v>
      </c>
      <c r="C16" s="429" t="s">
        <v>175</v>
      </c>
      <c r="D16" s="195">
        <f>'CASA 2Q'!$H$14/2*($J$8)</f>
        <v>0</v>
      </c>
      <c r="E16" s="195"/>
      <c r="F16" s="195"/>
      <c r="G16" s="195"/>
      <c r="H16" s="195"/>
      <c r="I16" s="195">
        <f>'CASA 2Q'!$H$14/2*($J$8)</f>
        <v>0</v>
      </c>
      <c r="J16" s="440">
        <f>SUM(D16:I16)</f>
        <v>0</v>
      </c>
      <c r="K16" s="218"/>
    </row>
    <row r="17" spans="1:11" ht="12.75">
      <c r="A17" s="181"/>
      <c r="B17" s="428"/>
      <c r="C17" s="430"/>
      <c r="D17" s="196"/>
      <c r="E17" s="196"/>
      <c r="F17" s="196"/>
      <c r="G17" s="196"/>
      <c r="H17" s="196"/>
      <c r="I17" s="196"/>
      <c r="J17" s="442"/>
      <c r="K17" s="218"/>
    </row>
    <row r="18" spans="1:11" ht="12.75">
      <c r="A18" s="181"/>
      <c r="B18" s="427">
        <v>4</v>
      </c>
      <c r="C18" s="429" t="s">
        <v>11</v>
      </c>
      <c r="D18" s="195">
        <f>'CASA 2Q'!$H$18/6*($J$8)</f>
        <v>0</v>
      </c>
      <c r="E18" s="195">
        <f>'CASA 2Q'!$H$18/6*($J$8)</f>
        <v>0</v>
      </c>
      <c r="F18" s="195">
        <f>'CASA 2Q'!$H$18/6*($J$8)</f>
        <v>0</v>
      </c>
      <c r="G18" s="195">
        <f>'CASA 2Q'!$H$18/6*($J$8)</f>
        <v>0</v>
      </c>
      <c r="H18" s="195">
        <f>'CASA 2Q'!$H$18/6*($J$8)</f>
        <v>0</v>
      </c>
      <c r="I18" s="195">
        <f>'CASA 2Q'!$H$18/6*($J$8)</f>
        <v>0</v>
      </c>
      <c r="J18" s="440">
        <f>SUM(D18:I18)</f>
        <v>0</v>
      </c>
      <c r="K18" s="218"/>
    </row>
    <row r="19" spans="1:11" ht="12.75">
      <c r="A19" s="181"/>
      <c r="B19" s="428"/>
      <c r="C19" s="430"/>
      <c r="D19" s="196"/>
      <c r="E19" s="196"/>
      <c r="F19" s="196"/>
      <c r="G19" s="196"/>
      <c r="H19" s="196"/>
      <c r="I19" s="196"/>
      <c r="J19" s="442"/>
      <c r="K19" s="218"/>
    </row>
    <row r="20" spans="1:11" ht="12.75">
      <c r="A20" s="181"/>
      <c r="B20" s="427">
        <v>5</v>
      </c>
      <c r="C20" s="429" t="s">
        <v>176</v>
      </c>
      <c r="D20" s="195">
        <f>('CASA 2Q'!$H$32+'CASA 2Q'!$H$36+'CASA 2Q'!$H$42)/3*($J$8)</f>
        <v>0</v>
      </c>
      <c r="E20" s="195">
        <f>('CASA 2Q'!$H$32+'CASA 2Q'!$H$36+'CASA 2Q'!$H$42)/3*($J$8)</f>
        <v>0</v>
      </c>
      <c r="F20" s="195">
        <f>('CASA 2Q'!$H$32+'CASA 2Q'!$H$36+'CASA 2Q'!$H$42)/3*($J$8)</f>
        <v>0</v>
      </c>
      <c r="G20" s="195"/>
      <c r="H20" s="195"/>
      <c r="I20" s="195"/>
      <c r="J20" s="440">
        <f>SUM(D20:I20)</f>
        <v>0</v>
      </c>
      <c r="K20" s="218"/>
    </row>
    <row r="21" spans="1:11" ht="12.75">
      <c r="A21" s="181"/>
      <c r="B21" s="428"/>
      <c r="C21" s="430"/>
      <c r="D21" s="196"/>
      <c r="E21" s="196"/>
      <c r="F21" s="196"/>
      <c r="G21" s="196"/>
      <c r="H21" s="196"/>
      <c r="I21" s="196"/>
      <c r="J21" s="442"/>
      <c r="K21" s="218"/>
    </row>
    <row r="22" spans="1:11" ht="12.75">
      <c r="A22" s="181"/>
      <c r="B22" s="427">
        <v>6</v>
      </c>
      <c r="C22" s="429" t="s">
        <v>177</v>
      </c>
      <c r="D22" s="195"/>
      <c r="E22" s="197">
        <f>('CASA 2Q'!$H$110/3)*($J$8)</f>
        <v>0</v>
      </c>
      <c r="F22" s="197">
        <f>('CASA 2Q'!$H$110/3)*($J$8)</f>
        <v>0</v>
      </c>
      <c r="G22" s="197">
        <f>('CASA 2Q'!$H$110/3)*($J$8)</f>
        <v>0</v>
      </c>
      <c r="H22" s="195"/>
      <c r="I22" s="195"/>
      <c r="J22" s="440">
        <f>SUM(D22:I22)</f>
        <v>0</v>
      </c>
      <c r="K22" s="218"/>
    </row>
    <row r="23" spans="1:11" ht="12.75">
      <c r="A23" s="181"/>
      <c r="B23" s="428"/>
      <c r="C23" s="430"/>
      <c r="D23" s="196"/>
      <c r="E23" s="196"/>
      <c r="F23" s="196"/>
      <c r="G23" s="196"/>
      <c r="H23" s="196"/>
      <c r="I23" s="196"/>
      <c r="J23" s="442"/>
      <c r="K23" s="218"/>
    </row>
    <row r="24" spans="1:12" ht="12.75">
      <c r="A24" s="181"/>
      <c r="B24" s="427">
        <v>7</v>
      </c>
      <c r="C24" s="429" t="s">
        <v>178</v>
      </c>
      <c r="D24" s="198">
        <f>('CASA 2Q'!$H$48/4)*($J$8)</f>
        <v>0</v>
      </c>
      <c r="E24" s="198">
        <f>('CASA 2Q'!$H$48/4)*($J$8)</f>
        <v>0</v>
      </c>
      <c r="F24" s="198">
        <f>('CASA 2Q'!$H$48/4)*($J$8)</f>
        <v>0</v>
      </c>
      <c r="G24" s="198">
        <f>('CASA 2Q'!$H$48/4)*($J$8)</f>
        <v>0</v>
      </c>
      <c r="H24" s="198"/>
      <c r="I24" s="198"/>
      <c r="J24" s="440">
        <f>SUM(D24:I24)</f>
        <v>0</v>
      </c>
      <c r="K24" s="218"/>
      <c r="L24" s="27"/>
    </row>
    <row r="25" spans="1:12" ht="12.75">
      <c r="A25" s="181"/>
      <c r="B25" s="428"/>
      <c r="C25" s="430"/>
      <c r="D25" s="199"/>
      <c r="E25" s="199"/>
      <c r="F25" s="199"/>
      <c r="G25" s="199"/>
      <c r="H25" s="199"/>
      <c r="I25" s="199"/>
      <c r="J25" s="442"/>
      <c r="K25" s="218"/>
      <c r="L25" s="27"/>
    </row>
    <row r="26" spans="1:11" ht="12.75">
      <c r="A26" s="181"/>
      <c r="B26" s="427">
        <v>8</v>
      </c>
      <c r="C26" s="429" t="s">
        <v>179</v>
      </c>
      <c r="D26" s="198"/>
      <c r="E26" s="198">
        <f>('CASA 2Q'!$H$103/4)*($J$8)</f>
        <v>0</v>
      </c>
      <c r="F26" s="198">
        <f>('CASA 2Q'!$H$103/4)*($J$8)</f>
        <v>0</v>
      </c>
      <c r="G26" s="198">
        <f>('CASA 2Q'!$H$103/4)*($J$8)</f>
        <v>0</v>
      </c>
      <c r="H26" s="198">
        <f>('CASA 2Q'!$H$103/4)*($J$8)</f>
        <v>0</v>
      </c>
      <c r="I26" s="198"/>
      <c r="J26" s="440">
        <f>SUM(D26:I26)</f>
        <v>0</v>
      </c>
      <c r="K26" s="218"/>
    </row>
    <row r="27" spans="1:11" ht="12.75">
      <c r="A27" s="181"/>
      <c r="B27" s="428"/>
      <c r="C27" s="430"/>
      <c r="D27" s="199"/>
      <c r="E27" s="199"/>
      <c r="F27" s="199"/>
      <c r="G27" s="199"/>
      <c r="H27" s="199"/>
      <c r="I27" s="199"/>
      <c r="J27" s="442"/>
      <c r="K27" s="218"/>
    </row>
    <row r="28" spans="1:11" ht="12.75">
      <c r="A28" s="181"/>
      <c r="B28" s="427">
        <v>9</v>
      </c>
      <c r="C28" s="429" t="s">
        <v>32</v>
      </c>
      <c r="D28" s="200"/>
      <c r="E28" s="194">
        <f>('CASA 2Q'!$H$51/3)*($J$8)</f>
        <v>0</v>
      </c>
      <c r="F28" s="194">
        <f>('CASA 2Q'!$H$51/3)*($J$8)</f>
        <v>0</v>
      </c>
      <c r="G28" s="194">
        <f>('CASA 2Q'!$H$51/3)*($J$8)</f>
        <v>0</v>
      </c>
      <c r="H28" s="194"/>
      <c r="I28" s="194"/>
      <c r="J28" s="440">
        <f>SUM(D28:I28)</f>
        <v>0</v>
      </c>
      <c r="K28" s="218"/>
    </row>
    <row r="29" spans="1:11" ht="12.75">
      <c r="A29" s="181"/>
      <c r="B29" s="428"/>
      <c r="C29" s="430"/>
      <c r="D29" s="201"/>
      <c r="E29" s="202"/>
      <c r="F29" s="202"/>
      <c r="G29" s="202"/>
      <c r="H29" s="202"/>
      <c r="I29" s="202"/>
      <c r="J29" s="442"/>
      <c r="K29" s="218"/>
    </row>
    <row r="30" spans="1:11" ht="12.75">
      <c r="A30" s="181"/>
      <c r="B30" s="427">
        <v>10</v>
      </c>
      <c r="C30" s="429" t="s">
        <v>180</v>
      </c>
      <c r="D30" s="200"/>
      <c r="E30" s="194">
        <f>('CASA 2Q'!$H$116/2)*($J$8)</f>
        <v>0</v>
      </c>
      <c r="F30" s="194">
        <f>('CASA 2Q'!$H$116/2)*($J$8)</f>
        <v>0</v>
      </c>
      <c r="G30" s="200"/>
      <c r="H30" s="200"/>
      <c r="I30" s="200"/>
      <c r="J30" s="440">
        <f>SUM(D30:I30)</f>
        <v>0</v>
      </c>
      <c r="K30" s="218"/>
    </row>
    <row r="31" spans="1:11" ht="12.75">
      <c r="A31" s="181"/>
      <c r="B31" s="428"/>
      <c r="C31" s="430"/>
      <c r="D31" s="201"/>
      <c r="E31" s="202"/>
      <c r="F31" s="202"/>
      <c r="G31" s="201"/>
      <c r="H31" s="201"/>
      <c r="I31" s="201"/>
      <c r="J31" s="442"/>
      <c r="K31" s="218"/>
    </row>
    <row r="32" spans="1:11" ht="12.75">
      <c r="A32" s="181"/>
      <c r="B32" s="427">
        <v>11</v>
      </c>
      <c r="C32" s="429" t="s">
        <v>182</v>
      </c>
      <c r="D32" s="200"/>
      <c r="E32" s="200"/>
      <c r="F32" s="194">
        <f>('CASA 2Q'!$H$73)*($J$8)</f>
        <v>0</v>
      </c>
      <c r="G32" s="194"/>
      <c r="H32" s="194"/>
      <c r="I32" s="194"/>
      <c r="J32" s="440">
        <f>SUM(D32:I32)</f>
        <v>0</v>
      </c>
      <c r="K32" s="218"/>
    </row>
    <row r="33" spans="1:11" ht="12.75">
      <c r="A33" s="181"/>
      <c r="B33" s="428"/>
      <c r="C33" s="430"/>
      <c r="D33" s="201"/>
      <c r="E33" s="201"/>
      <c r="F33" s="202"/>
      <c r="G33" s="202"/>
      <c r="H33" s="202"/>
      <c r="I33" s="202"/>
      <c r="J33" s="442"/>
      <c r="K33" s="218"/>
    </row>
    <row r="34" spans="1:11" ht="12.75">
      <c r="A34" s="181"/>
      <c r="B34" s="427">
        <v>12</v>
      </c>
      <c r="C34" s="429" t="s">
        <v>50</v>
      </c>
      <c r="D34" s="200"/>
      <c r="E34" s="200"/>
      <c r="F34" s="194">
        <f>'CASA 2Q'!$H$81*J8</f>
        <v>0</v>
      </c>
      <c r="G34" s="194"/>
      <c r="H34" s="194"/>
      <c r="I34" s="194"/>
      <c r="J34" s="440">
        <f>SUM(D34:I34)</f>
        <v>0</v>
      </c>
      <c r="K34" s="218"/>
    </row>
    <row r="35" spans="1:11" ht="12.75">
      <c r="A35" s="181"/>
      <c r="B35" s="428"/>
      <c r="C35" s="430"/>
      <c r="D35" s="201"/>
      <c r="E35" s="201"/>
      <c r="F35" s="202"/>
      <c r="G35" s="202"/>
      <c r="H35" s="202"/>
      <c r="I35" s="202"/>
      <c r="J35" s="442"/>
      <c r="K35" s="218"/>
    </row>
    <row r="36" spans="1:11" ht="12.75">
      <c r="A36" s="181"/>
      <c r="B36" s="427">
        <v>13</v>
      </c>
      <c r="C36" s="429" t="s">
        <v>54</v>
      </c>
      <c r="D36" s="5"/>
      <c r="E36" s="194">
        <f>('CASA 2Q'!$H$88*$J$8)</f>
        <v>0</v>
      </c>
      <c r="F36" s="194"/>
      <c r="G36" s="194"/>
      <c r="H36" s="194"/>
      <c r="I36" s="194"/>
      <c r="J36" s="440">
        <f>SUM(D36:I36)</f>
        <v>0</v>
      </c>
      <c r="K36" s="218"/>
    </row>
    <row r="37" spans="1:11" ht="12.75">
      <c r="A37" s="181"/>
      <c r="B37" s="428"/>
      <c r="C37" s="430"/>
      <c r="D37" s="201"/>
      <c r="E37" s="202"/>
      <c r="F37" s="202"/>
      <c r="G37" s="202"/>
      <c r="H37" s="202"/>
      <c r="I37" s="202"/>
      <c r="J37" s="442"/>
      <c r="K37" s="218"/>
    </row>
    <row r="38" spans="1:11" ht="12.75">
      <c r="A38" s="181"/>
      <c r="B38" s="427">
        <v>14</v>
      </c>
      <c r="C38" s="429" t="s">
        <v>53</v>
      </c>
      <c r="D38" s="200"/>
      <c r="E38" s="200"/>
      <c r="F38" s="194">
        <f>('CASA 2Q'!$H$91*$J$8)</f>
        <v>0</v>
      </c>
      <c r="G38" s="194"/>
      <c r="H38" s="194"/>
      <c r="I38" s="194"/>
      <c r="J38" s="440">
        <f>SUM(D38:I38)</f>
        <v>0</v>
      </c>
      <c r="K38" s="218"/>
    </row>
    <row r="39" spans="1:11" ht="12.75">
      <c r="A39" s="181"/>
      <c r="B39" s="428"/>
      <c r="C39" s="430"/>
      <c r="D39" s="201"/>
      <c r="E39" s="201"/>
      <c r="F39" s="202"/>
      <c r="G39" s="202"/>
      <c r="H39" s="202"/>
      <c r="I39" s="202"/>
      <c r="J39" s="442"/>
      <c r="K39" s="218"/>
    </row>
    <row r="40" spans="1:11" ht="12.75">
      <c r="A40" s="181"/>
      <c r="B40" s="427">
        <v>15</v>
      </c>
      <c r="C40" s="429" t="s">
        <v>185</v>
      </c>
      <c r="D40" s="200"/>
      <c r="E40" s="200"/>
      <c r="F40" s="194">
        <f>('CASA 2Q'!$H$95)*$J$8</f>
        <v>0</v>
      </c>
      <c r="G40" s="194"/>
      <c r="H40" s="194"/>
      <c r="I40" s="194"/>
      <c r="J40" s="440">
        <f>SUM(D40:I40)</f>
        <v>0</v>
      </c>
      <c r="K40" s="218"/>
    </row>
    <row r="41" spans="1:11" ht="12.75">
      <c r="A41" s="181"/>
      <c r="B41" s="428"/>
      <c r="C41" s="430"/>
      <c r="D41" s="201"/>
      <c r="E41" s="201"/>
      <c r="F41" s="202"/>
      <c r="G41" s="202"/>
      <c r="H41" s="202"/>
      <c r="I41" s="202"/>
      <c r="J41" s="442"/>
      <c r="K41" s="218"/>
    </row>
    <row r="42" spans="1:11" ht="12.75">
      <c r="A42" s="181"/>
      <c r="B42" s="427">
        <v>16</v>
      </c>
      <c r="C42" s="429" t="s">
        <v>40</v>
      </c>
      <c r="D42" s="200"/>
      <c r="E42" s="194">
        <f>('CASA 2Q'!$H$57*$J$8)</f>
        <v>0</v>
      </c>
      <c r="F42" s="194"/>
      <c r="G42" s="194"/>
      <c r="H42" s="194"/>
      <c r="I42" s="194"/>
      <c r="J42" s="440">
        <f>SUM(D42:I42)</f>
        <v>0</v>
      </c>
      <c r="K42" s="218"/>
    </row>
    <row r="43" spans="1:11" ht="12.75">
      <c r="A43" s="181"/>
      <c r="B43" s="428"/>
      <c r="C43" s="430"/>
      <c r="D43" s="201"/>
      <c r="E43" s="202"/>
      <c r="F43" s="202"/>
      <c r="G43" s="202"/>
      <c r="H43" s="202"/>
      <c r="I43" s="202"/>
      <c r="J43" s="442"/>
      <c r="K43" s="218"/>
    </row>
    <row r="44" spans="1:11" ht="12.75">
      <c r="A44" s="181"/>
      <c r="B44" s="427">
        <v>17</v>
      </c>
      <c r="C44" s="429" t="s">
        <v>191</v>
      </c>
      <c r="D44" s="200"/>
      <c r="E44" s="200"/>
      <c r="F44" s="200"/>
      <c r="G44" s="194">
        <f>('CASA 2Q'!$H$124/2)*$J$8</f>
        <v>0</v>
      </c>
      <c r="H44" s="194">
        <f>('CASA 2Q'!$H$124/2)*$J$8</f>
        <v>0</v>
      </c>
      <c r="I44" s="194"/>
      <c r="J44" s="440">
        <f>SUM(D44:I44)</f>
        <v>0</v>
      </c>
      <c r="K44" s="218"/>
    </row>
    <row r="45" spans="1:11" ht="12.75">
      <c r="A45" s="181"/>
      <c r="B45" s="428"/>
      <c r="C45" s="430"/>
      <c r="D45" s="201"/>
      <c r="E45" s="201"/>
      <c r="F45" s="201"/>
      <c r="G45" s="202"/>
      <c r="H45" s="202"/>
      <c r="I45" s="202"/>
      <c r="J45" s="442"/>
      <c r="K45" s="218"/>
    </row>
    <row r="46" spans="1:11" ht="12.75">
      <c r="A46" s="181"/>
      <c r="B46" s="427">
        <v>18</v>
      </c>
      <c r="C46" s="429" t="s">
        <v>192</v>
      </c>
      <c r="D46" s="194">
        <f>('CASA 2Q'!$H$134/6)*$J$8</f>
        <v>0</v>
      </c>
      <c r="E46" s="194">
        <f>('CASA 2Q'!$H$134/6)*$J$8</f>
        <v>0</v>
      </c>
      <c r="F46" s="194">
        <f>('CASA 2Q'!$H$134/6)*$J$8</f>
        <v>0</v>
      </c>
      <c r="G46" s="194">
        <f>('CASA 2Q'!$H$134/6)*$J$8</f>
        <v>0</v>
      </c>
      <c r="H46" s="194">
        <f>('CASA 2Q'!$H$134/6)*$J$8</f>
        <v>0</v>
      </c>
      <c r="I46" s="194">
        <f>('CASA 2Q'!$H$134/6)*$J$8</f>
        <v>0</v>
      </c>
      <c r="J46" s="440">
        <f>SUM(D46:I46)</f>
        <v>0</v>
      </c>
      <c r="K46" s="218"/>
    </row>
    <row r="47" spans="1:11" ht="12.75">
      <c r="A47" s="181"/>
      <c r="B47" s="428"/>
      <c r="C47" s="430"/>
      <c r="D47" s="202"/>
      <c r="E47" s="202"/>
      <c r="F47" s="202"/>
      <c r="G47" s="202"/>
      <c r="H47" s="202"/>
      <c r="I47" s="203"/>
      <c r="J47" s="442"/>
      <c r="K47" s="218"/>
    </row>
    <row r="48" spans="1:11" ht="12.75">
      <c r="A48" s="181"/>
      <c r="C48" s="10"/>
      <c r="D48" s="10"/>
      <c r="E48" s="10"/>
      <c r="F48" s="10"/>
      <c r="G48" s="10"/>
      <c r="H48" s="10"/>
      <c r="I48" s="10"/>
      <c r="J48" s="10"/>
      <c r="K48" s="218"/>
    </row>
    <row r="49" spans="1:11" ht="45">
      <c r="A49" s="181"/>
      <c r="B49" s="210"/>
      <c r="C49" s="211"/>
      <c r="D49" s="212"/>
      <c r="E49" s="212"/>
      <c r="F49" s="212"/>
      <c r="G49" s="212"/>
      <c r="H49" s="212"/>
      <c r="I49" s="213"/>
      <c r="J49" s="214" t="s">
        <v>563</v>
      </c>
      <c r="K49" s="218"/>
    </row>
    <row r="50" spans="1:11" ht="12.75">
      <c r="A50" s="181"/>
      <c r="B50" s="443"/>
      <c r="C50" s="216" t="s">
        <v>193</v>
      </c>
      <c r="D50" s="3">
        <f>SUM(D14:D46)</f>
        <v>0</v>
      </c>
      <c r="E50" s="3">
        <f aca="true" t="shared" si="0" ref="D50:I50">SUM(E14:E46)</f>
        <v>0</v>
      </c>
      <c r="F50" s="3">
        <f t="shared" si="0"/>
        <v>0</v>
      </c>
      <c r="G50" s="3">
        <f t="shared" si="0"/>
        <v>0</v>
      </c>
      <c r="H50" s="3">
        <f t="shared" si="0"/>
        <v>0</v>
      </c>
      <c r="I50" s="4">
        <f t="shared" si="0"/>
        <v>0</v>
      </c>
      <c r="J50" s="206">
        <f>SUM(J12:J47)</f>
        <v>0</v>
      </c>
      <c r="K50" s="218"/>
    </row>
    <row r="51" spans="1:11" ht="12.75">
      <c r="A51" s="181"/>
      <c r="B51" s="444"/>
      <c r="C51" s="12"/>
      <c r="D51" s="215"/>
      <c r="E51" s="215"/>
      <c r="F51" s="215"/>
      <c r="G51" s="215"/>
      <c r="H51" s="215"/>
      <c r="I51" s="215"/>
      <c r="J51" s="206"/>
      <c r="K51" s="218"/>
    </row>
    <row r="52" spans="1:11" ht="12.75" customHeight="1">
      <c r="A52" s="181"/>
      <c r="B52" s="444"/>
      <c r="C52" s="216" t="s">
        <v>564</v>
      </c>
      <c r="D52" s="3">
        <f aca="true" t="shared" si="1" ref="D52:I52">D50*$G$6/100</f>
        <v>0</v>
      </c>
      <c r="E52" s="3">
        <f t="shared" si="1"/>
        <v>0</v>
      </c>
      <c r="F52" s="3">
        <f t="shared" si="1"/>
        <v>0</v>
      </c>
      <c r="G52" s="3">
        <f t="shared" si="1"/>
        <v>0</v>
      </c>
      <c r="H52" s="3">
        <f t="shared" si="1"/>
        <v>0</v>
      </c>
      <c r="I52" s="3">
        <f t="shared" si="1"/>
        <v>0</v>
      </c>
      <c r="J52" s="8"/>
      <c r="K52" s="218"/>
    </row>
    <row r="53" spans="1:11" ht="12.75" customHeight="1">
      <c r="A53" s="181"/>
      <c r="B53" s="444"/>
      <c r="C53" s="10"/>
      <c r="D53" s="10"/>
      <c r="E53" s="10"/>
      <c r="F53" s="10"/>
      <c r="G53" s="10"/>
      <c r="H53" s="10"/>
      <c r="I53" s="10"/>
      <c r="J53" s="10"/>
      <c r="K53" s="218"/>
    </row>
    <row r="54" spans="1:11" ht="12.75">
      <c r="A54" s="181"/>
      <c r="B54" s="444"/>
      <c r="C54" s="216" t="s">
        <v>195</v>
      </c>
      <c r="D54" s="3">
        <f>D50+D52+D12</f>
        <v>0</v>
      </c>
      <c r="E54" s="3">
        <f aca="true" t="shared" si="2" ref="D54:I54">E50+E52</f>
        <v>0</v>
      </c>
      <c r="F54" s="3">
        <f t="shared" si="2"/>
        <v>0</v>
      </c>
      <c r="G54" s="3">
        <f t="shared" si="2"/>
        <v>0</v>
      </c>
      <c r="H54" s="3">
        <f t="shared" si="2"/>
        <v>0</v>
      </c>
      <c r="I54" s="3">
        <f t="shared" si="2"/>
        <v>0</v>
      </c>
      <c r="J54" s="8"/>
      <c r="K54" s="218"/>
    </row>
    <row r="55" spans="1:11" ht="12.75" customHeight="1">
      <c r="A55" s="181"/>
      <c r="B55" s="444"/>
      <c r="C55" s="12"/>
      <c r="D55" s="215"/>
      <c r="E55" s="215"/>
      <c r="F55" s="215"/>
      <c r="G55" s="215"/>
      <c r="H55" s="215"/>
      <c r="I55" s="215"/>
      <c r="J55" s="8"/>
      <c r="K55" s="218"/>
    </row>
    <row r="56" spans="1:11" ht="12.75">
      <c r="A56" s="181"/>
      <c r="B56" s="445"/>
      <c r="C56" s="216" t="s">
        <v>196</v>
      </c>
      <c r="D56" s="6">
        <f>D54</f>
        <v>0</v>
      </c>
      <c r="E56" s="6">
        <f>E54+D56</f>
        <v>0</v>
      </c>
      <c r="F56" s="6">
        <f>F54+E56</f>
        <v>0</v>
      </c>
      <c r="G56" s="6">
        <f>G54+F56</f>
        <v>0</v>
      </c>
      <c r="H56" s="6">
        <f>G56+H54</f>
        <v>0</v>
      </c>
      <c r="I56" s="204">
        <f>H56+I54</f>
        <v>0</v>
      </c>
      <c r="J56" s="205">
        <f>I56</f>
        <v>0</v>
      </c>
      <c r="K56" s="218"/>
    </row>
    <row r="57" spans="1:13" ht="13.5" thickBot="1">
      <c r="A57" s="221"/>
      <c r="B57" s="222"/>
      <c r="C57" s="222"/>
      <c r="D57" s="222"/>
      <c r="E57" s="222"/>
      <c r="F57" s="222"/>
      <c r="G57" s="222"/>
      <c r="H57" s="222"/>
      <c r="I57" s="222"/>
      <c r="J57" s="223"/>
      <c r="K57" s="224"/>
      <c r="M57" s="9"/>
    </row>
  </sheetData>
  <sheetProtection/>
  <mergeCells count="65">
    <mergeCell ref="B50:B56"/>
    <mergeCell ref="B44:B45"/>
    <mergeCell ref="C44:C45"/>
    <mergeCell ref="J44:J45"/>
    <mergeCell ref="B46:B47"/>
    <mergeCell ref="C46:C47"/>
    <mergeCell ref="J46:J47"/>
    <mergeCell ref="B40:B41"/>
    <mergeCell ref="C40:C41"/>
    <mergeCell ref="J40:J41"/>
    <mergeCell ref="B42:B43"/>
    <mergeCell ref="C42:C43"/>
    <mergeCell ref="J42:J43"/>
    <mergeCell ref="B36:B37"/>
    <mergeCell ref="C36:C37"/>
    <mergeCell ref="J36:J37"/>
    <mergeCell ref="B38:B39"/>
    <mergeCell ref="C38:C39"/>
    <mergeCell ref="J38:J39"/>
    <mergeCell ref="B32:B33"/>
    <mergeCell ref="C32:C33"/>
    <mergeCell ref="J32:J33"/>
    <mergeCell ref="B34:B35"/>
    <mergeCell ref="C34:C35"/>
    <mergeCell ref="J34:J35"/>
    <mergeCell ref="B28:B29"/>
    <mergeCell ref="C28:C29"/>
    <mergeCell ref="J28:J29"/>
    <mergeCell ref="B30:B31"/>
    <mergeCell ref="C30:C31"/>
    <mergeCell ref="J30:J31"/>
    <mergeCell ref="B24:B25"/>
    <mergeCell ref="C24:C25"/>
    <mergeCell ref="J24:J25"/>
    <mergeCell ref="B26:B27"/>
    <mergeCell ref="C26:C27"/>
    <mergeCell ref="J26:J27"/>
    <mergeCell ref="B20:B21"/>
    <mergeCell ref="C20:C21"/>
    <mergeCell ref="J20:J21"/>
    <mergeCell ref="B22:B23"/>
    <mergeCell ref="C22:C23"/>
    <mergeCell ref="J22:J23"/>
    <mergeCell ref="B16:B17"/>
    <mergeCell ref="C16:C17"/>
    <mergeCell ref="J16:J17"/>
    <mergeCell ref="B18:B19"/>
    <mergeCell ref="C18:C19"/>
    <mergeCell ref="J18:J19"/>
    <mergeCell ref="B12:B13"/>
    <mergeCell ref="C12:C13"/>
    <mergeCell ref="D12:D13"/>
    <mergeCell ref="E12:I13"/>
    <mergeCell ref="J12:J13"/>
    <mergeCell ref="B14:B15"/>
    <mergeCell ref="C14:C15"/>
    <mergeCell ref="J14:J15"/>
    <mergeCell ref="B2:J2"/>
    <mergeCell ref="C3:J3"/>
    <mergeCell ref="C4:J4"/>
    <mergeCell ref="C8:I8"/>
    <mergeCell ref="B10:B11"/>
    <mergeCell ref="C10:C11"/>
    <mergeCell ref="D10:I10"/>
    <mergeCell ref="J10:J11"/>
  </mergeCells>
  <printOptions horizontalCentered="1"/>
  <pageMargins left="0.984251968503937" right="0.5905511811023623" top="0.984251968503937" bottom="0.7874015748031497" header="0.5118110236220472" footer="0.5118110236220472"/>
  <pageSetup horizontalDpi="300" verticalDpi="300" orientation="landscape" paperSize="9" scale="88" r:id="rId2"/>
  <headerFooter alignWithMargins="0">
    <oddFooter>&amp;L&amp;"Arial,Itálico"&amp;8fonte.: SINAPI, GOIÂNIA, JANEIRO 2013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Carlson.Paiva</dc:creator>
  <cp:keywords/>
  <dc:description/>
  <cp:lastModifiedBy>cristiane.silva</cp:lastModifiedBy>
  <cp:lastPrinted>2013-09-27T13:10:10Z</cp:lastPrinted>
  <dcterms:created xsi:type="dcterms:W3CDTF">2013-02-26T11:14:40Z</dcterms:created>
  <dcterms:modified xsi:type="dcterms:W3CDTF">2013-09-27T14:10:23Z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ies>
</file>